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queryTables/queryTable2.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queryTables/queryTable16.xml" ContentType="application/vnd.openxmlformats-officedocument.spreadsheetml.query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queryTables/queryTable14.xml" ContentType="application/vnd.openxmlformats-officedocument.spreadsheetml.queryTable+xml"/>
  <Override PartName="/xl/queryTables/queryTable15.xml" ContentType="application/vnd.openxmlformats-officedocument.spreadsheetml.queryTable+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connections.xml" ContentType="application/vnd.openxmlformats-officedocument.spreadsheetml.connections+xml"/>
  <Override PartName="/xl/comments2.xml" ContentType="application/vnd.openxmlformats-officedocument.spreadsheetml.comments+xml"/>
  <Override PartName="/xl/comments3.xml" ContentType="application/vnd.openxmlformats-officedocument.spreadsheetml.comments+xml"/>
  <Override PartName="/xl/queryTables/queryTable9.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calcChain.xml" ContentType="application/vnd.openxmlformats-officedocument.spreadsheetml.calcChain+xml"/>
  <Override PartName="/xl/sharedStrings.xml" ContentType="application/vnd.openxmlformats-officedocument.spreadsheetml.sharedStrings+xml"/>
  <Override PartName="/xl/queryTables/queryTable5.xml" ContentType="application/vnd.openxmlformats-officedocument.spreadsheetml.queryTable+xml"/>
  <Override PartName="/xl/queryTables/queryTable6.xml" ContentType="application/vnd.openxmlformats-officedocument.spreadsheetml.queryTable+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queryTables/queryTable3.xml" ContentType="application/vnd.openxmlformats-officedocument.spreadsheetml.queryTable+xml"/>
  <Override PartName="/xl/queryTables/queryTable4.xml" ContentType="application/vnd.openxmlformats-officedocument.spreadsheetml.query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bookViews>
    <workbookView xWindow="12870" yWindow="150" windowWidth="15585" windowHeight="11295" activeTab="1"/>
  </bookViews>
  <sheets>
    <sheet name="NEW-Tables 80-86" sheetId="14" r:id="rId1"/>
    <sheet name="OLD Tables 44-50" sheetId="21" r:id="rId2"/>
    <sheet name="FTE Pivot for regular counts" sheetId="9" r:id="rId3"/>
    <sheet name="Pivot-HS Student % of Undergrad" sheetId="16" r:id="rId4"/>
    <sheet name="SCH Data" sheetId="6" r:id="rId5"/>
    <sheet name="Format P01" sheetId="19" r:id="rId6"/>
    <sheet name="Format P02" sheetId="20" r:id="rId7"/>
  </sheets>
  <definedNames>
    <definedName name="APPHEAD" localSheetId="1">#REF!</definedName>
    <definedName name="APPHEAD">#REF!</definedName>
    <definedName name="CHHEAD" localSheetId="1">#REF!</definedName>
    <definedName name="CHHEAD">#REF!</definedName>
    <definedName name="Dual07" localSheetId="4">'SCH Data'!$S$403:$S$510</definedName>
    <definedName name="Dual08" localSheetId="4">'SCH Data'!$T$403:$T$510</definedName>
    <definedName name="JrCH08ug1" localSheetId="4">'SCH Data'!$X$438:$X$510</definedName>
    <definedName name="JrCH08ug2" localSheetId="4">'SCH Data'!$Z$438:$Z$510</definedName>
    <definedName name="JrCH08ug3" localSheetId="4">'SCH Data'!$AB$438:$AB$510</definedName>
    <definedName name="JrCH08ug4" localSheetId="4">'SCH Data'!$AD$438:$AD$510</definedName>
    <definedName name="JrSCH08ug1" localSheetId="4">'SCH Data'!$H$438:$H$510</definedName>
    <definedName name="JrSCH08ug2" localSheetId="4">'SCH Data'!$J$438:$J$510</definedName>
    <definedName name="JrSCH08ug3" localSheetId="4">'SCH Data'!$L$438:$L$510</definedName>
    <definedName name="JrSCH08ug4" localSheetId="4">'SCH Data'!$N$438:$N$510</definedName>
    <definedName name="PAGE_17" localSheetId="1">#REF!</definedName>
    <definedName name="PAGE_17">#REF!</definedName>
    <definedName name="PAGE1" localSheetId="1">#REF!</definedName>
    <definedName name="PAGE1">#REF!</definedName>
    <definedName name="PAGE10" localSheetId="1">#REF!</definedName>
    <definedName name="PAGE10">#REF!</definedName>
    <definedName name="PAGE11" localSheetId="1">#REF!</definedName>
    <definedName name="PAGE11">#REF!</definedName>
    <definedName name="PAGE12" localSheetId="1">#REF!</definedName>
    <definedName name="PAGE12">#REF!</definedName>
    <definedName name="PAGE13" localSheetId="1">#REF!</definedName>
    <definedName name="PAGE13">#REF!</definedName>
    <definedName name="PAGE14" localSheetId="1">#REF!</definedName>
    <definedName name="PAGE14">#REF!</definedName>
    <definedName name="PAGE15" localSheetId="1">#REF!</definedName>
    <definedName name="PAGE15">#REF!</definedName>
    <definedName name="PAGE16" localSheetId="1">#REF!</definedName>
    <definedName name="PAGE16">#REF!</definedName>
    <definedName name="PAGE17" localSheetId="1">#REF!</definedName>
    <definedName name="PAGE17">#REF!</definedName>
    <definedName name="PAGE18" localSheetId="1">#REF!</definedName>
    <definedName name="PAGE18">#REF!</definedName>
    <definedName name="PAGE19" localSheetId="1">#REF!</definedName>
    <definedName name="PAGE19">#REF!</definedName>
    <definedName name="PAGE2" localSheetId="1">#REF!</definedName>
    <definedName name="PAGE2">#REF!</definedName>
    <definedName name="PAGE20" localSheetId="1">#REF!</definedName>
    <definedName name="PAGE20">#REF!</definedName>
    <definedName name="PAGE3" localSheetId="1">#REF!</definedName>
    <definedName name="PAGE3">#REF!</definedName>
    <definedName name="PAGE4" localSheetId="1">#REF!</definedName>
    <definedName name="PAGE4">#REF!</definedName>
    <definedName name="PAGE5" localSheetId="1">#REF!</definedName>
    <definedName name="PAGE5">#REF!</definedName>
    <definedName name="PAGE6" localSheetId="1">#REF!</definedName>
    <definedName name="PAGE6">#REF!</definedName>
    <definedName name="PAGE7" localSheetId="1">#REF!</definedName>
    <definedName name="PAGE7">#REF!</definedName>
    <definedName name="PAGE8" localSheetId="1">#REF!</definedName>
    <definedName name="PAGE8">#REF!</definedName>
    <definedName name="PAGE9" localSheetId="1">#REF!</definedName>
    <definedName name="PAGE9">#REF!</definedName>
    <definedName name="PART1" localSheetId="1">#REF!</definedName>
    <definedName name="PART1">#REF!</definedName>
    <definedName name="PART2" localSheetId="1">#REF!</definedName>
    <definedName name="PART2">#REF!</definedName>
    <definedName name="PART3" localSheetId="1">#REF!</definedName>
    <definedName name="PART3">#REF!</definedName>
    <definedName name="PART4A" localSheetId="1">#REF!</definedName>
    <definedName name="PART4A">#REF!</definedName>
    <definedName name="PART4B" localSheetId="1">#REF!</definedName>
    <definedName name="PART4B">#REF!</definedName>
    <definedName name="PART5" localSheetId="1">#REF!</definedName>
    <definedName name="PART5">#REF!</definedName>
    <definedName name="PART6A" localSheetId="1">#REF!</definedName>
    <definedName name="PART6A">#REF!</definedName>
    <definedName name="PART6B" localSheetId="1">#REF!</definedName>
    <definedName name="PART6B">#REF!</definedName>
    <definedName name="PART6C" localSheetId="1">#REF!</definedName>
    <definedName name="PART6C">#REF!</definedName>
    <definedName name="PART7B" localSheetId="1">#REF!</definedName>
    <definedName name="PART7B">#REF!</definedName>
    <definedName name="PART7C" localSheetId="1">#REF!</definedName>
    <definedName name="PART7C">#REF!</definedName>
    <definedName name="PART8" localSheetId="1">#REF!</definedName>
    <definedName name="PART8">#REF!</definedName>
    <definedName name="_xlnm.Print_Area" localSheetId="2">'FTE Pivot for regular counts'!$C$5:$R$196</definedName>
    <definedName name="_xlnm.Print_Area" localSheetId="0">'NEW-Tables 80-86'!$A$1:$O$216</definedName>
    <definedName name="_xlnm.Print_Area" localSheetId="1">'OLD Tables 44-50'!$A$1:$O$216</definedName>
    <definedName name="_xlnm.Print_Area" localSheetId="3">'Pivot-HS Student % of Undergrad'!$C$6:$T$101</definedName>
    <definedName name="_xlnm.Print_Area" localSheetId="4">'SCH Data'!#REF!</definedName>
    <definedName name="_xlnm.Print_Area">#REF!</definedName>
    <definedName name="_xlnm.Print_Titles" localSheetId="2">'FTE Pivot for regular counts'!$A:$B,'FTE Pivot for regular counts'!$2:$4</definedName>
    <definedName name="_xlnm.Print_Titles" localSheetId="3">'Pivot-HS Student % of Undergrad'!$A:$B,'Pivot-HS Student % of Undergrad'!$4:$5</definedName>
    <definedName name="_xlnm.Print_Titles" localSheetId="4">'SCH Data'!$B:$B</definedName>
    <definedName name="RATIONALE" localSheetId="1">#REF!</definedName>
    <definedName name="RATIONALE">#REF!</definedName>
    <definedName name="RATIONALE2" localSheetId="1">#REF!</definedName>
    <definedName name="RATIONALE2">#REF!</definedName>
    <definedName name="SALHEAD" localSheetId="1">#REF!</definedName>
    <definedName name="SALHEAD">#REF!</definedName>
    <definedName name="SrSCH08gr2" localSheetId="4">'SCH Data'!$AP$403:$AP$437</definedName>
    <definedName name="SrSCH08gr3" localSheetId="4">'SCH Data'!$AR$403:$AR$437</definedName>
    <definedName name="SrSCH08gr4" localSheetId="4">'SCH Data'!$AT$403:$AT$437</definedName>
    <definedName name="SrSCH08ug2" localSheetId="4">'SCH Data'!$J$403:$J$437</definedName>
    <definedName name="SrSCH08ug3" localSheetId="4">'SCH Data'!$L$403:$L$437</definedName>
    <definedName name="SrSCH08ug4" localSheetId="4">'SCH Data'!$N$403:$N$437</definedName>
  </definedNames>
  <calcPr calcId="125725"/>
  <pivotCaches>
    <pivotCache cacheId="2" r:id="rId8"/>
    <pivotCache cacheId="3" r:id="rId9"/>
  </pivotCaches>
</workbook>
</file>

<file path=xl/calcChain.xml><?xml version="1.0" encoding="utf-8"?>
<calcChain xmlns="http://schemas.openxmlformats.org/spreadsheetml/2006/main">
  <c r="AT707" i="6"/>
  <c r="AR707"/>
  <c r="AP707"/>
  <c r="N707"/>
  <c r="L707"/>
  <c r="J707"/>
  <c r="AK657"/>
  <c r="Q669"/>
  <c r="AU152"/>
  <c r="AV152" s="1"/>
  <c r="AY152" s="1"/>
  <c r="AW152"/>
  <c r="AX152" s="1"/>
  <c r="AZ152" s="1"/>
  <c r="AU153"/>
  <c r="AV153" s="1"/>
  <c r="AY153" s="1"/>
  <c r="AW153"/>
  <c r="AX153" s="1"/>
  <c r="AZ153" s="1"/>
  <c r="AU154"/>
  <c r="AV154" s="1"/>
  <c r="AY154" s="1"/>
  <c r="AW154"/>
  <c r="AX154" s="1"/>
  <c r="AZ154" s="1"/>
  <c r="AU155"/>
  <c r="AV155" s="1"/>
  <c r="AY155" s="1"/>
  <c r="AW155"/>
  <c r="AX155" s="1"/>
  <c r="AZ155" s="1"/>
  <c r="AU156"/>
  <c r="AV156" s="1"/>
  <c r="AY156" s="1"/>
  <c r="AW156"/>
  <c r="AX156" s="1"/>
  <c r="AZ156" s="1"/>
  <c r="AU157"/>
  <c r="AV157" s="1"/>
  <c r="AY157" s="1"/>
  <c r="AW157"/>
  <c r="AX157" s="1"/>
  <c r="AZ157" s="1"/>
  <c r="AU158"/>
  <c r="AV158" s="1"/>
  <c r="AY158" s="1"/>
  <c r="AW158"/>
  <c r="AX158" s="1"/>
  <c r="AZ158" s="1"/>
  <c r="AU159"/>
  <c r="AV159" s="1"/>
  <c r="AY159" s="1"/>
  <c r="AW159"/>
  <c r="AX159" s="1"/>
  <c r="AZ159" s="1"/>
  <c r="AU160"/>
  <c r="AV160" s="1"/>
  <c r="AY160" s="1"/>
  <c r="AW160"/>
  <c r="AX160" s="1"/>
  <c r="AZ160" s="1"/>
  <c r="AU161"/>
  <c r="AV161" s="1"/>
  <c r="AY161" s="1"/>
  <c r="AW161"/>
  <c r="AX161" s="1"/>
  <c r="AZ161" s="1"/>
  <c r="AU162"/>
  <c r="AV162" s="1"/>
  <c r="AY162" s="1"/>
  <c r="AW162"/>
  <c r="AX162" s="1"/>
  <c r="AZ162" s="1"/>
  <c r="AU163"/>
  <c r="AV163" s="1"/>
  <c r="AY163" s="1"/>
  <c r="AW163"/>
  <c r="AX163" s="1"/>
  <c r="AZ163" s="1"/>
  <c r="AU164"/>
  <c r="AV164" s="1"/>
  <c r="AY164" s="1"/>
  <c r="AW164"/>
  <c r="AX164" s="1"/>
  <c r="AZ164" s="1"/>
  <c r="AU165"/>
  <c r="AV165" s="1"/>
  <c r="AY165" s="1"/>
  <c r="AW165"/>
  <c r="AX165" s="1"/>
  <c r="AZ165" s="1"/>
  <c r="AU166"/>
  <c r="AV166" s="1"/>
  <c r="AY166" s="1"/>
  <c r="AW166"/>
  <c r="AX166" s="1"/>
  <c r="AZ166" s="1"/>
  <c r="AU167"/>
  <c r="AV167" s="1"/>
  <c r="AY167" s="1"/>
  <c r="AW167"/>
  <c r="AX167" s="1"/>
  <c r="AZ167" s="1"/>
  <c r="AU168"/>
  <c r="AV168" s="1"/>
  <c r="AY168" s="1"/>
  <c r="AW168"/>
  <c r="AX168" s="1"/>
  <c r="AZ168" s="1"/>
  <c r="AU169"/>
  <c r="AV169" s="1"/>
  <c r="AY169" s="1"/>
  <c r="AW169"/>
  <c r="AX169" s="1"/>
  <c r="AZ169" s="1"/>
  <c r="AU170"/>
  <c r="AV170" s="1"/>
  <c r="AY170" s="1"/>
  <c r="AW170"/>
  <c r="AX170" s="1"/>
  <c r="AZ170" s="1"/>
  <c r="AU171"/>
  <c r="AV171" s="1"/>
  <c r="AY171" s="1"/>
  <c r="AW171"/>
  <c r="AX171" s="1"/>
  <c r="AZ171" s="1"/>
  <c r="AU172"/>
  <c r="AV172" s="1"/>
  <c r="AY172" s="1"/>
  <c r="AW172"/>
  <c r="AX172" s="1"/>
  <c r="AZ172" s="1"/>
  <c r="AU173"/>
  <c r="AV173" s="1"/>
  <c r="AY173" s="1"/>
  <c r="AW173"/>
  <c r="AX173" s="1"/>
  <c r="AZ173" s="1"/>
  <c r="AU174"/>
  <c r="AV174" s="1"/>
  <c r="AY174" s="1"/>
  <c r="AW174"/>
  <c r="AX174" s="1"/>
  <c r="AZ174" s="1"/>
  <c r="AU175"/>
  <c r="AV175" s="1"/>
  <c r="AY175" s="1"/>
  <c r="AW175"/>
  <c r="AX175" s="1"/>
  <c r="AZ175" s="1"/>
  <c r="AU176"/>
  <c r="AV176" s="1"/>
  <c r="AY176" s="1"/>
  <c r="AW176"/>
  <c r="AX176" s="1"/>
  <c r="AZ176" s="1"/>
  <c r="AU177"/>
  <c r="AV177" s="1"/>
  <c r="AY177" s="1"/>
  <c r="AW177"/>
  <c r="AX177" s="1"/>
  <c r="AZ177" s="1"/>
  <c r="AU178"/>
  <c r="AV178" s="1"/>
  <c r="AY178" s="1"/>
  <c r="AW178"/>
  <c r="AX178" s="1"/>
  <c r="AZ178" s="1"/>
  <c r="AU179"/>
  <c r="AV179" s="1"/>
  <c r="AY179" s="1"/>
  <c r="AW179"/>
  <c r="AX179" s="1"/>
  <c r="AZ179" s="1"/>
  <c r="AU180"/>
  <c r="AV180" s="1"/>
  <c r="AY180" s="1"/>
  <c r="AW180"/>
  <c r="AX180" s="1"/>
  <c r="AZ180" s="1"/>
  <c r="AU181"/>
  <c r="AV181" s="1"/>
  <c r="AY181" s="1"/>
  <c r="AW181"/>
  <c r="AX181" s="1"/>
  <c r="AZ181" s="1"/>
  <c r="AK153"/>
  <c r="AL153"/>
  <c r="AK154"/>
  <c r="AL154"/>
  <c r="AK155"/>
  <c r="AL155"/>
  <c r="AK156"/>
  <c r="AL156"/>
  <c r="AK157"/>
  <c r="AL157"/>
  <c r="AK158"/>
  <c r="AL158"/>
  <c r="AK159"/>
  <c r="AL159"/>
  <c r="AK160"/>
  <c r="AL160"/>
  <c r="AK161"/>
  <c r="AL161"/>
  <c r="AK162"/>
  <c r="AL162"/>
  <c r="AK163"/>
  <c r="AL163"/>
  <c r="AK164"/>
  <c r="AL164"/>
  <c r="AK165"/>
  <c r="AL165"/>
  <c r="AK166"/>
  <c r="AL166"/>
  <c r="AK167"/>
  <c r="AL167"/>
  <c r="AK168"/>
  <c r="AL168"/>
  <c r="AK169"/>
  <c r="AL169"/>
  <c r="AK170"/>
  <c r="AL170"/>
  <c r="AK171"/>
  <c r="AL171"/>
  <c r="AK172"/>
  <c r="AL172"/>
  <c r="AK173"/>
  <c r="AL173"/>
  <c r="AK174"/>
  <c r="AL174"/>
  <c r="AK175"/>
  <c r="AL175"/>
  <c r="AK176"/>
  <c r="AL176"/>
  <c r="AK177"/>
  <c r="AL177"/>
  <c r="AK178"/>
  <c r="AL178"/>
  <c r="AK179"/>
  <c r="AL179"/>
  <c r="AK180"/>
  <c r="AL180"/>
  <c r="AK181"/>
  <c r="AL181"/>
  <c r="AK182"/>
  <c r="AL182"/>
  <c r="AK183"/>
  <c r="AL183"/>
  <c r="AK184"/>
  <c r="AL184"/>
  <c r="AK185"/>
  <c r="AL185"/>
  <c r="AE153"/>
  <c r="AF153" s="1"/>
  <c r="AG153"/>
  <c r="AH153" s="1"/>
  <c r="AE154"/>
  <c r="AF154" s="1"/>
  <c r="AG154"/>
  <c r="AH154" s="1"/>
  <c r="AE155"/>
  <c r="AF155" s="1"/>
  <c r="AG155"/>
  <c r="AH155" s="1"/>
  <c r="AE156"/>
  <c r="AF156" s="1"/>
  <c r="AG156"/>
  <c r="AH156" s="1"/>
  <c r="AE157"/>
  <c r="AF157" s="1"/>
  <c r="AG157"/>
  <c r="AH157" s="1"/>
  <c r="AE158"/>
  <c r="AF158" s="1"/>
  <c r="AG158"/>
  <c r="AH158" s="1"/>
  <c r="AE159"/>
  <c r="AF159" s="1"/>
  <c r="AG159"/>
  <c r="AH159" s="1"/>
  <c r="AE160"/>
  <c r="AF160" s="1"/>
  <c r="AG160"/>
  <c r="AH160" s="1"/>
  <c r="AE161"/>
  <c r="AF161" s="1"/>
  <c r="AG161"/>
  <c r="AH161" s="1"/>
  <c r="AE162"/>
  <c r="AF162" s="1"/>
  <c r="AG162"/>
  <c r="AH162" s="1"/>
  <c r="AE163"/>
  <c r="AF163" s="1"/>
  <c r="AG163"/>
  <c r="AH163" s="1"/>
  <c r="AE164"/>
  <c r="AF164" s="1"/>
  <c r="AG164"/>
  <c r="AH164" s="1"/>
  <c r="AE165"/>
  <c r="AF165" s="1"/>
  <c r="AG165"/>
  <c r="AH165" s="1"/>
  <c r="AE166"/>
  <c r="AF166" s="1"/>
  <c r="AG166"/>
  <c r="AH166" s="1"/>
  <c r="AE167"/>
  <c r="AF167" s="1"/>
  <c r="AG167"/>
  <c r="AH167" s="1"/>
  <c r="AE168"/>
  <c r="AF168" s="1"/>
  <c r="AG168"/>
  <c r="AH168" s="1"/>
  <c r="AE169"/>
  <c r="AF169" s="1"/>
  <c r="AG169"/>
  <c r="AH169" s="1"/>
  <c r="AE170"/>
  <c r="AF170" s="1"/>
  <c r="AG170"/>
  <c r="AH170" s="1"/>
  <c r="AE171"/>
  <c r="AF171" s="1"/>
  <c r="AG171"/>
  <c r="AH171" s="1"/>
  <c r="AE172"/>
  <c r="AF172" s="1"/>
  <c r="AG172"/>
  <c r="AH172" s="1"/>
  <c r="AE173"/>
  <c r="AF173" s="1"/>
  <c r="AG173"/>
  <c r="AH173" s="1"/>
  <c r="AE174"/>
  <c r="AF174" s="1"/>
  <c r="AG174"/>
  <c r="AH174" s="1"/>
  <c r="AE175"/>
  <c r="AF175" s="1"/>
  <c r="AG175"/>
  <c r="AH175" s="1"/>
  <c r="AE176"/>
  <c r="AF176" s="1"/>
  <c r="AG176"/>
  <c r="AH176" s="1"/>
  <c r="AE177"/>
  <c r="AF177" s="1"/>
  <c r="AG177"/>
  <c r="AH177" s="1"/>
  <c r="AE178"/>
  <c r="AF178" s="1"/>
  <c r="AG178"/>
  <c r="AH178" s="1"/>
  <c r="AE179"/>
  <c r="AF179" s="1"/>
  <c r="AG179"/>
  <c r="AH179" s="1"/>
  <c r="AE180"/>
  <c r="AF180" s="1"/>
  <c r="AG180"/>
  <c r="AH180" s="1"/>
  <c r="AE181"/>
  <c r="AF181" s="1"/>
  <c r="AG181"/>
  <c r="AH181" s="1"/>
  <c r="AE182"/>
  <c r="AF182" s="1"/>
  <c r="AG182"/>
  <c r="AH182" s="1"/>
  <c r="R154"/>
  <c r="R155"/>
  <c r="R156"/>
  <c r="R157"/>
  <c r="R158"/>
  <c r="R159"/>
  <c r="R160"/>
  <c r="R161"/>
  <c r="R162"/>
  <c r="R163"/>
  <c r="R164"/>
  <c r="R165"/>
  <c r="R166"/>
  <c r="R167"/>
  <c r="R168"/>
  <c r="R169"/>
  <c r="R170"/>
  <c r="R171"/>
  <c r="R172"/>
  <c r="R173"/>
  <c r="R174"/>
  <c r="R175"/>
  <c r="R176"/>
  <c r="R177"/>
  <c r="R178"/>
  <c r="R179"/>
  <c r="R180"/>
  <c r="R153"/>
  <c r="P154"/>
  <c r="P155"/>
  <c r="P156"/>
  <c r="P157"/>
  <c r="P158"/>
  <c r="P159"/>
  <c r="P160"/>
  <c r="P161"/>
  <c r="P162"/>
  <c r="P163"/>
  <c r="P164"/>
  <c r="P165"/>
  <c r="P166"/>
  <c r="P167"/>
  <c r="P168"/>
  <c r="P169"/>
  <c r="P170"/>
  <c r="P171"/>
  <c r="P172"/>
  <c r="P173"/>
  <c r="P174"/>
  <c r="P175"/>
  <c r="P176"/>
  <c r="P177"/>
  <c r="P178"/>
  <c r="P179"/>
  <c r="P180"/>
  <c r="P153"/>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O153"/>
  <c r="Q153"/>
  <c r="O154"/>
  <c r="Q154"/>
  <c r="O155"/>
  <c r="Q155"/>
  <c r="O156"/>
  <c r="Q156"/>
  <c r="O157"/>
  <c r="Q157"/>
  <c r="O158"/>
  <c r="Q158"/>
  <c r="O159"/>
  <c r="Q159"/>
  <c r="O160"/>
  <c r="Q160"/>
  <c r="O161"/>
  <c r="Q161"/>
  <c r="O162"/>
  <c r="Q162"/>
  <c r="O163"/>
  <c r="Q163"/>
  <c r="O164"/>
  <c r="Q164"/>
  <c r="O165"/>
  <c r="Q165"/>
  <c r="O166"/>
  <c r="Q166"/>
  <c r="O167"/>
  <c r="Q167"/>
  <c r="O168"/>
  <c r="Q168"/>
  <c r="O169"/>
  <c r="Q169"/>
  <c r="O170"/>
  <c r="Q170"/>
  <c r="O171"/>
  <c r="Q171"/>
  <c r="O172"/>
  <c r="Q172"/>
  <c r="O173"/>
  <c r="Q173"/>
  <c r="O174"/>
  <c r="Q174"/>
  <c r="O175"/>
  <c r="Q175"/>
  <c r="O176"/>
  <c r="Q176"/>
  <c r="O177"/>
  <c r="Q177"/>
  <c r="O178"/>
  <c r="Q178"/>
  <c r="O179"/>
  <c r="Q179"/>
  <c r="O180"/>
  <c r="Q180"/>
  <c r="O181"/>
  <c r="P181" s="1"/>
  <c r="Q181"/>
  <c r="R181" s="1"/>
  <c r="O182"/>
  <c r="P182" s="1"/>
  <c r="Q182"/>
  <c r="R182" s="1"/>
  <c r="O183"/>
  <c r="P183" s="1"/>
  <c r="Q183"/>
  <c r="R183" s="1"/>
  <c r="O184"/>
  <c r="P184" s="1"/>
  <c r="Q184"/>
  <c r="R184" s="1"/>
  <c r="O185"/>
  <c r="P185" s="1"/>
  <c r="Q185"/>
  <c r="R185" s="1"/>
  <c r="O186"/>
  <c r="P186" s="1"/>
  <c r="Q186"/>
  <c r="R186" s="1"/>
  <c r="O187"/>
  <c r="P187" s="1"/>
  <c r="Q187"/>
  <c r="R187" s="1"/>
  <c r="O5" l="1"/>
  <c r="Q5"/>
  <c r="AU305"/>
  <c r="AV305" s="1"/>
  <c r="AW305"/>
  <c r="AX305" s="1"/>
  <c r="AU306"/>
  <c r="AV306" s="1"/>
  <c r="AW306"/>
  <c r="AX306" s="1"/>
  <c r="AU307"/>
  <c r="AV307" s="1"/>
  <c r="AW307"/>
  <c r="AX307" s="1"/>
  <c r="AU308"/>
  <c r="AV308" s="1"/>
  <c r="AW308"/>
  <c r="AX308" s="1"/>
  <c r="AU309"/>
  <c r="AV309" s="1"/>
  <c r="AW309"/>
  <c r="AX309" s="1"/>
  <c r="AU310"/>
  <c r="AV310" s="1"/>
  <c r="AW310"/>
  <c r="AX310" s="1"/>
  <c r="AU311"/>
  <c r="AV311" s="1"/>
  <c r="AW311"/>
  <c r="AX311" s="1"/>
  <c r="AU312"/>
  <c r="AV312" s="1"/>
  <c r="AW312"/>
  <c r="AX312" s="1"/>
  <c r="AU313"/>
  <c r="AV313" s="1"/>
  <c r="AW313"/>
  <c r="AX313" s="1"/>
  <c r="AU314"/>
  <c r="AV314" s="1"/>
  <c r="AW314"/>
  <c r="AX314" s="1"/>
  <c r="AU315"/>
  <c r="AV315" s="1"/>
  <c r="AW315"/>
  <c r="AX315" s="1"/>
  <c r="AU316"/>
  <c r="AV316" s="1"/>
  <c r="AW316"/>
  <c r="AX316" s="1"/>
  <c r="AU317"/>
  <c r="AV317" s="1"/>
  <c r="AW317"/>
  <c r="AX317" s="1"/>
  <c r="AU318"/>
  <c r="AV318" s="1"/>
  <c r="AW318"/>
  <c r="AX318" s="1"/>
  <c r="AU319"/>
  <c r="AV319" s="1"/>
  <c r="AW319"/>
  <c r="AX319" s="1"/>
  <c r="AU320"/>
  <c r="AV320" s="1"/>
  <c r="AW320"/>
  <c r="AX320" s="1"/>
  <c r="AK305"/>
  <c r="AL305"/>
  <c r="AE305"/>
  <c r="AF305" s="1"/>
  <c r="AG305"/>
  <c r="AH305" s="1"/>
  <c r="AK306"/>
  <c r="AL306"/>
  <c r="AE306"/>
  <c r="AF306" s="1"/>
  <c r="AG306"/>
  <c r="AH306" s="1"/>
  <c r="AK307"/>
  <c r="AL307"/>
  <c r="AE307"/>
  <c r="AF307" s="1"/>
  <c r="AG307"/>
  <c r="AH307" s="1"/>
  <c r="AK308"/>
  <c r="AL308"/>
  <c r="AE308"/>
  <c r="AF308" s="1"/>
  <c r="AG308"/>
  <c r="AH308" s="1"/>
  <c r="AK309"/>
  <c r="AL309"/>
  <c r="AE309"/>
  <c r="AF309" s="1"/>
  <c r="AG309"/>
  <c r="AH309" s="1"/>
  <c r="AK310"/>
  <c r="AL310"/>
  <c r="AE310"/>
  <c r="AF310" s="1"/>
  <c r="AG310"/>
  <c r="AH310" s="1"/>
  <c r="AK311"/>
  <c r="AL311"/>
  <c r="AE311"/>
  <c r="AF311" s="1"/>
  <c r="AG311"/>
  <c r="AH311" s="1"/>
  <c r="AK312"/>
  <c r="AL312"/>
  <c r="AE312"/>
  <c r="AF312" s="1"/>
  <c r="AG312"/>
  <c r="AH312" s="1"/>
  <c r="AK313"/>
  <c r="AL313"/>
  <c r="AE313"/>
  <c r="AF313" s="1"/>
  <c r="AG313"/>
  <c r="AH313" s="1"/>
  <c r="AK314"/>
  <c r="AL314"/>
  <c r="AE314"/>
  <c r="AF314" s="1"/>
  <c r="AG314"/>
  <c r="AH314" s="1"/>
  <c r="AK315"/>
  <c r="AL315"/>
  <c r="AE315"/>
  <c r="AF315" s="1"/>
  <c r="AG315"/>
  <c r="AH315" s="1"/>
  <c r="AK316"/>
  <c r="AL316"/>
  <c r="AE316"/>
  <c r="AF316" s="1"/>
  <c r="AG316"/>
  <c r="AH316" s="1"/>
  <c r="AK317"/>
  <c r="AL317"/>
  <c r="AE317"/>
  <c r="AF317" s="1"/>
  <c r="AG317"/>
  <c r="AH317" s="1"/>
  <c r="AK318"/>
  <c r="AL318"/>
  <c r="AE318"/>
  <c r="AF318" s="1"/>
  <c r="AG318"/>
  <c r="AH318" s="1"/>
  <c r="AK319"/>
  <c r="AL319"/>
  <c r="AE319"/>
  <c r="AF319" s="1"/>
  <c r="AG319"/>
  <c r="AH319" s="1"/>
  <c r="AK320"/>
  <c r="AL320"/>
  <c r="AE320"/>
  <c r="AF320" s="1"/>
  <c r="AG320"/>
  <c r="AH320" s="1"/>
  <c r="AK321"/>
  <c r="AL321"/>
  <c r="AE321"/>
  <c r="AF321" s="1"/>
  <c r="AG321"/>
  <c r="AH321" s="1"/>
  <c r="AK322"/>
  <c r="AL322"/>
  <c r="AE322"/>
  <c r="AF322" s="1"/>
  <c r="AG322"/>
  <c r="AH322" s="1"/>
  <c r="AK323"/>
  <c r="AL323"/>
  <c r="AE323"/>
  <c r="AF323" s="1"/>
  <c r="AG323"/>
  <c r="AH323" s="1"/>
  <c r="AK324"/>
  <c r="AL324"/>
  <c r="AE324"/>
  <c r="AF324" s="1"/>
  <c r="AG324"/>
  <c r="AH324" s="1"/>
  <c r="O305"/>
  <c r="P305" s="1"/>
  <c r="Q305"/>
  <c r="V305" s="1"/>
  <c r="O306"/>
  <c r="P306" s="1"/>
  <c r="Q306"/>
  <c r="V306" s="1"/>
  <c r="O307"/>
  <c r="P307" s="1"/>
  <c r="Q307"/>
  <c r="V307" s="1"/>
  <c r="O308"/>
  <c r="P308" s="1"/>
  <c r="Q308"/>
  <c r="V308" s="1"/>
  <c r="O309"/>
  <c r="P309" s="1"/>
  <c r="Q309"/>
  <c r="V309" s="1"/>
  <c r="O310"/>
  <c r="P310" s="1"/>
  <c r="Q310"/>
  <c r="V310" s="1"/>
  <c r="O311"/>
  <c r="P311" s="1"/>
  <c r="Q311"/>
  <c r="V311" s="1"/>
  <c r="O312"/>
  <c r="P312" s="1"/>
  <c r="Q312"/>
  <c r="V312" s="1"/>
  <c r="O313"/>
  <c r="P313" s="1"/>
  <c r="Q313"/>
  <c r="V313" s="1"/>
  <c r="O314"/>
  <c r="P314" s="1"/>
  <c r="Q314"/>
  <c r="V314" s="1"/>
  <c r="O315"/>
  <c r="P315" s="1"/>
  <c r="Q315"/>
  <c r="V315" s="1"/>
  <c r="O316"/>
  <c r="P316" s="1"/>
  <c r="Q316"/>
  <c r="V316" s="1"/>
  <c r="O317"/>
  <c r="P317" s="1"/>
  <c r="Q317"/>
  <c r="V317" s="1"/>
  <c r="O318"/>
  <c r="P318" s="1"/>
  <c r="Q318"/>
  <c r="V318" s="1"/>
  <c r="O319"/>
  <c r="P319" s="1"/>
  <c r="Q319"/>
  <c r="V319" s="1"/>
  <c r="U320"/>
  <c r="V320"/>
  <c r="O320"/>
  <c r="P320" s="1"/>
  <c r="Q320"/>
  <c r="R320" s="1"/>
  <c r="O321"/>
  <c r="P321" s="1"/>
  <c r="Q321"/>
  <c r="V321" s="1"/>
  <c r="O322"/>
  <c r="P322" s="1"/>
  <c r="Q322"/>
  <c r="V322" s="1"/>
  <c r="AY320" l="1"/>
  <c r="AY318"/>
  <c r="AY316"/>
  <c r="AY314"/>
  <c r="AY312"/>
  <c r="AY310"/>
  <c r="AY308"/>
  <c r="AY306"/>
  <c r="AZ320"/>
  <c r="AY319"/>
  <c r="AY317"/>
  <c r="AY315"/>
  <c r="AY313"/>
  <c r="AY311"/>
  <c r="AY309"/>
  <c r="AY307"/>
  <c r="AY305"/>
  <c r="U322"/>
  <c r="U321"/>
  <c r="U319"/>
  <c r="U318"/>
  <c r="U317"/>
  <c r="U316"/>
  <c r="U315"/>
  <c r="U314"/>
  <c r="U313"/>
  <c r="U312"/>
  <c r="U311"/>
  <c r="U310"/>
  <c r="U309"/>
  <c r="U308"/>
  <c r="U307"/>
  <c r="U306"/>
  <c r="U305"/>
  <c r="R322"/>
  <c r="R321"/>
  <c r="R319"/>
  <c r="AZ319" s="1"/>
  <c r="R318"/>
  <c r="AZ318" s="1"/>
  <c r="R317"/>
  <c r="AZ317" s="1"/>
  <c r="R316"/>
  <c r="AZ316" s="1"/>
  <c r="R315"/>
  <c r="AZ315" s="1"/>
  <c r="R314"/>
  <c r="AZ314" s="1"/>
  <c r="R313"/>
  <c r="AZ313" s="1"/>
  <c r="R312"/>
  <c r="AZ312" s="1"/>
  <c r="R311"/>
  <c r="AZ311" s="1"/>
  <c r="R310"/>
  <c r="AZ310" s="1"/>
  <c r="R309"/>
  <c r="AZ309" s="1"/>
  <c r="R308"/>
  <c r="AZ308" s="1"/>
  <c r="R307"/>
  <c r="AZ307" s="1"/>
  <c r="R306"/>
  <c r="AZ306" s="1"/>
  <c r="R305"/>
  <c r="AZ305" s="1"/>
  <c r="I210" i="21"/>
  <c r="O11"/>
  <c r="K170"/>
  <c r="E17"/>
  <c r="M13"/>
  <c r="I22"/>
  <c r="C19"/>
  <c r="M27"/>
  <c r="G24"/>
  <c r="G205"/>
  <c r="C198"/>
  <c r="G178"/>
  <c r="C213"/>
  <c r="E176"/>
  <c r="G177"/>
  <c r="I173"/>
  <c r="G201"/>
  <c r="G208"/>
  <c r="E24"/>
  <c r="M21"/>
  <c r="K29"/>
  <c r="C27"/>
  <c r="I212"/>
  <c r="I12"/>
  <c r="K175"/>
  <c r="M17"/>
  <c r="G14"/>
  <c r="C183"/>
  <c r="I178"/>
  <c r="G195"/>
  <c r="E167"/>
  <c r="M19"/>
  <c r="G17"/>
  <c r="C26"/>
  <c r="K22"/>
  <c r="I197"/>
  <c r="O27"/>
  <c r="K166"/>
  <c r="G13"/>
  <c r="K182"/>
  <c r="I167"/>
  <c r="C166"/>
  <c r="C172"/>
  <c r="M29"/>
  <c r="C195"/>
  <c r="E168"/>
  <c r="C170"/>
  <c r="G172"/>
  <c r="I205"/>
  <c r="O29"/>
  <c r="K181"/>
  <c r="C16"/>
  <c r="K12"/>
  <c r="G21"/>
  <c r="O17"/>
  <c r="K26"/>
  <c r="E23"/>
  <c r="G200"/>
  <c r="I176"/>
  <c r="E213"/>
  <c r="C208"/>
  <c r="I175"/>
  <c r="E202"/>
  <c r="G211"/>
  <c r="O12"/>
  <c r="K178"/>
  <c r="G12"/>
  <c r="K17"/>
  <c r="G213"/>
  <c r="E198"/>
  <c r="I183"/>
  <c r="E172"/>
  <c r="I17"/>
  <c r="C14"/>
  <c r="M22"/>
  <c r="G19"/>
  <c r="C28"/>
  <c r="K24"/>
  <c r="I206"/>
  <c r="C11"/>
  <c r="K183"/>
  <c r="C206"/>
  <c r="E207"/>
  <c r="C168"/>
  <c r="G206"/>
  <c r="E205"/>
  <c r="I172"/>
  <c r="G173"/>
  <c r="C176"/>
  <c r="I195"/>
  <c r="G27"/>
  <c r="I213"/>
  <c r="M12"/>
  <c r="K177"/>
  <c r="C18"/>
  <c r="K14"/>
  <c r="G23"/>
  <c r="O19"/>
  <c r="G180"/>
  <c r="E180"/>
  <c r="G168"/>
  <c r="E171"/>
  <c r="G26"/>
  <c r="O22"/>
  <c r="I198"/>
  <c r="E28"/>
  <c r="K168"/>
  <c r="K13"/>
  <c r="E11"/>
  <c r="O18"/>
  <c r="I16"/>
  <c r="G165"/>
  <c r="G197"/>
  <c r="G202"/>
  <c r="I181"/>
  <c r="I170"/>
  <c r="C171"/>
  <c r="E212"/>
  <c r="E210"/>
  <c r="C180"/>
  <c r="G16"/>
  <c r="I203"/>
  <c r="E18"/>
  <c r="I23"/>
  <c r="M28"/>
  <c r="C201"/>
  <c r="G181"/>
  <c r="I177"/>
  <c r="G22"/>
  <c r="K27"/>
  <c r="E211"/>
  <c r="G176"/>
  <c r="C200"/>
  <c r="E195"/>
  <c r="E173"/>
  <c r="E178"/>
  <c r="C24"/>
  <c r="K21"/>
  <c r="I201"/>
  <c r="K173"/>
  <c r="E200"/>
  <c r="C202"/>
  <c r="C23"/>
  <c r="K19"/>
  <c r="G28"/>
  <c r="O24"/>
  <c r="I207"/>
  <c r="G11"/>
  <c r="K165"/>
  <c r="K16"/>
  <c r="E13"/>
  <c r="C178"/>
  <c r="E170"/>
  <c r="C182"/>
  <c r="I165"/>
  <c r="C207"/>
  <c r="E196"/>
  <c r="E197"/>
  <c r="G182"/>
  <c r="E201"/>
  <c r="C13"/>
  <c r="K180"/>
  <c r="G18"/>
  <c r="O14"/>
  <c r="K23"/>
  <c r="E21"/>
  <c r="O28"/>
  <c r="I26"/>
  <c r="G210"/>
  <c r="E203"/>
  <c r="C165"/>
  <c r="I171"/>
  <c r="I200"/>
  <c r="I28"/>
  <c r="K171"/>
  <c r="O13"/>
  <c r="I11"/>
  <c r="E19"/>
  <c r="M16"/>
  <c r="I24"/>
  <c r="C22"/>
  <c r="C197"/>
  <c r="I166"/>
  <c r="E183"/>
  <c r="C203"/>
  <c r="E166"/>
  <c r="G167"/>
  <c r="E182"/>
  <c r="G166"/>
  <c r="I168"/>
  <c r="O21"/>
  <c r="I18"/>
  <c r="E27"/>
  <c r="M23"/>
  <c r="I202"/>
  <c r="C29"/>
  <c r="K176"/>
  <c r="I14"/>
  <c r="C12"/>
  <c r="C173"/>
  <c r="E177"/>
  <c r="C177"/>
  <c r="E175"/>
  <c r="E206"/>
  <c r="C167"/>
  <c r="I182"/>
  <c r="G29"/>
  <c r="M14"/>
  <c r="C21"/>
  <c r="G170"/>
  <c r="G207"/>
  <c r="E181"/>
  <c r="G196"/>
  <c r="K28"/>
  <c r="E26"/>
  <c r="I208"/>
  <c r="K11"/>
  <c r="K167"/>
  <c r="O16"/>
  <c r="I13"/>
  <c r="E22"/>
  <c r="M18"/>
  <c r="G175"/>
  <c r="E165"/>
  <c r="G212"/>
  <c r="E208"/>
  <c r="I180"/>
  <c r="C181"/>
  <c r="C210"/>
  <c r="C212"/>
  <c r="G198"/>
  <c r="K18"/>
  <c r="E16"/>
  <c r="O23"/>
  <c r="I21"/>
  <c r="E29"/>
  <c r="M26"/>
  <c r="I211"/>
  <c r="E12"/>
  <c r="K172"/>
  <c r="C211"/>
  <c r="C205"/>
  <c r="G171"/>
  <c r="G183"/>
  <c r="E14"/>
  <c r="M11"/>
  <c r="I19"/>
  <c r="C17"/>
  <c r="M24"/>
  <c r="I196"/>
  <c r="I29"/>
  <c r="C175"/>
  <c r="G203"/>
  <c r="I27"/>
  <c r="O26"/>
  <c r="C196"/>
  <c r="U467" i="6" l="1"/>
  <c r="V467"/>
  <c r="O467"/>
  <c r="P467" s="1"/>
  <c r="Q467"/>
  <c r="R467" s="1"/>
  <c r="U468"/>
  <c r="V468"/>
  <c r="O468"/>
  <c r="P468" s="1"/>
  <c r="Q468"/>
  <c r="R468" s="1"/>
  <c r="U469"/>
  <c r="V469"/>
  <c r="O469"/>
  <c r="P469" s="1"/>
  <c r="Q469"/>
  <c r="R469" s="1"/>
  <c r="U470"/>
  <c r="V470"/>
  <c r="O470"/>
  <c r="P470" s="1"/>
  <c r="Q470"/>
  <c r="R470" s="1"/>
  <c r="U471"/>
  <c r="V471"/>
  <c r="O471"/>
  <c r="P471" s="1"/>
  <c r="Q471"/>
  <c r="R471" s="1"/>
  <c r="U472"/>
  <c r="V472"/>
  <c r="O472"/>
  <c r="P472" s="1"/>
  <c r="Q472"/>
  <c r="R472" s="1"/>
  <c r="U473"/>
  <c r="V473"/>
  <c r="O473"/>
  <c r="P473" s="1"/>
  <c r="Q473"/>
  <c r="R473" s="1"/>
  <c r="AU467"/>
  <c r="AV467" s="1"/>
  <c r="AW467"/>
  <c r="AX467" s="1"/>
  <c r="AU468"/>
  <c r="AV468" s="1"/>
  <c r="AW468"/>
  <c r="AX468" s="1"/>
  <c r="AU469"/>
  <c r="AV469" s="1"/>
  <c r="AW469"/>
  <c r="AX469" s="1"/>
  <c r="AU470"/>
  <c r="AV470" s="1"/>
  <c r="AW470"/>
  <c r="AX470" s="1"/>
  <c r="AU471"/>
  <c r="AV471" s="1"/>
  <c r="AW471"/>
  <c r="AX471" s="1"/>
  <c r="AU472"/>
  <c r="AV472" s="1"/>
  <c r="AW472"/>
  <c r="AX472" s="1"/>
  <c r="AU473"/>
  <c r="AV473" s="1"/>
  <c r="AW473"/>
  <c r="AX473" s="1"/>
  <c r="AK467"/>
  <c r="AL467"/>
  <c r="AK468"/>
  <c r="AL468"/>
  <c r="AK469"/>
  <c r="AL469"/>
  <c r="AK470"/>
  <c r="AL470"/>
  <c r="AK471"/>
  <c r="AL471"/>
  <c r="AG471"/>
  <c r="AH471" s="1"/>
  <c r="AK472"/>
  <c r="AL472"/>
  <c r="AE472"/>
  <c r="AF472" s="1"/>
  <c r="AG472"/>
  <c r="AH472" s="1"/>
  <c r="AC471"/>
  <c r="AE471" s="1"/>
  <c r="AF471" s="1"/>
  <c r="AD470"/>
  <c r="AG470" s="1"/>
  <c r="AH470" s="1"/>
  <c r="AC470"/>
  <c r="AE470" s="1"/>
  <c r="AF470" s="1"/>
  <c r="AD469"/>
  <c r="AG469" s="1"/>
  <c r="AH469" s="1"/>
  <c r="AC469"/>
  <c r="AE469" s="1"/>
  <c r="AF469" s="1"/>
  <c r="AD468"/>
  <c r="AG468" s="1"/>
  <c r="AH468" s="1"/>
  <c r="AC468"/>
  <c r="AE468" s="1"/>
  <c r="AF468" s="1"/>
  <c r="AD467"/>
  <c r="AG467" s="1"/>
  <c r="AH467" s="1"/>
  <c r="AC467"/>
  <c r="AE467" s="1"/>
  <c r="AF467" s="1"/>
  <c r="AU589"/>
  <c r="AV589" s="1"/>
  <c r="AW589"/>
  <c r="AX589" s="1"/>
  <c r="AU590"/>
  <c r="AV590" s="1"/>
  <c r="AW590"/>
  <c r="AX590" s="1"/>
  <c r="AU591"/>
  <c r="AV591" s="1"/>
  <c r="AW591"/>
  <c r="AX591" s="1"/>
  <c r="AU592"/>
  <c r="AV592" s="1"/>
  <c r="AW592"/>
  <c r="AX592" s="1"/>
  <c r="AU593"/>
  <c r="AV593" s="1"/>
  <c r="AW593"/>
  <c r="AX593" s="1"/>
  <c r="AU594"/>
  <c r="AV594" s="1"/>
  <c r="AW594"/>
  <c r="AX594" s="1"/>
  <c r="AU595"/>
  <c r="AV595" s="1"/>
  <c r="AW595"/>
  <c r="AX595" s="1"/>
  <c r="AU596"/>
  <c r="AV596" s="1"/>
  <c r="AW596"/>
  <c r="AX596" s="1"/>
  <c r="AU597"/>
  <c r="AV597" s="1"/>
  <c r="AW597"/>
  <c r="AX597" s="1"/>
  <c r="AU598"/>
  <c r="AV598" s="1"/>
  <c r="AW598"/>
  <c r="AX598" s="1"/>
  <c r="AU599"/>
  <c r="AV599" s="1"/>
  <c r="AW599"/>
  <c r="AX599" s="1"/>
  <c r="AU600"/>
  <c r="AV600" s="1"/>
  <c r="AW600"/>
  <c r="AX600" s="1"/>
  <c r="AU601"/>
  <c r="AV601" s="1"/>
  <c r="AW601"/>
  <c r="AX601" s="1"/>
  <c r="AU602"/>
  <c r="AV602" s="1"/>
  <c r="AW602"/>
  <c r="AX602" s="1"/>
  <c r="AU603"/>
  <c r="AV603" s="1"/>
  <c r="AW603"/>
  <c r="AX603" s="1"/>
  <c r="AU604"/>
  <c r="AV604" s="1"/>
  <c r="AW604"/>
  <c r="AX604" s="1"/>
  <c r="AU605"/>
  <c r="AV605" s="1"/>
  <c r="AW605"/>
  <c r="AX605" s="1"/>
  <c r="AU606"/>
  <c r="AV606" s="1"/>
  <c r="AW606"/>
  <c r="AX606" s="1"/>
  <c r="AU607"/>
  <c r="AV607" s="1"/>
  <c r="AW607"/>
  <c r="AX607" s="1"/>
  <c r="AU608"/>
  <c r="AV608" s="1"/>
  <c r="AW608"/>
  <c r="AX608" s="1"/>
  <c r="AU609"/>
  <c r="AV609" s="1"/>
  <c r="AW609"/>
  <c r="AX609" s="1"/>
  <c r="AU610"/>
  <c r="AV610" s="1"/>
  <c r="AW610"/>
  <c r="AX610" s="1"/>
  <c r="AU611"/>
  <c r="AV611" s="1"/>
  <c r="AW611"/>
  <c r="AX611" s="1"/>
  <c r="AU612"/>
  <c r="AV612" s="1"/>
  <c r="AW612"/>
  <c r="AX612" s="1"/>
  <c r="AU613"/>
  <c r="AV613" s="1"/>
  <c r="AW613"/>
  <c r="AX613" s="1"/>
  <c r="AU614"/>
  <c r="AV614" s="1"/>
  <c r="AW614"/>
  <c r="AX614" s="1"/>
  <c r="AU615"/>
  <c r="AV615" s="1"/>
  <c r="AW615"/>
  <c r="AX615" s="1"/>
  <c r="AU616"/>
  <c r="AV616" s="1"/>
  <c r="AW616"/>
  <c r="AX616" s="1"/>
  <c r="AU617"/>
  <c r="AV617" s="1"/>
  <c r="AW617"/>
  <c r="AX617" s="1"/>
  <c r="AU618"/>
  <c r="AV618" s="1"/>
  <c r="AW618"/>
  <c r="AX618" s="1"/>
  <c r="AU619"/>
  <c r="AV619" s="1"/>
  <c r="AW619"/>
  <c r="AX619" s="1"/>
  <c r="AU620"/>
  <c r="AV620" s="1"/>
  <c r="AW620"/>
  <c r="AX620" s="1"/>
  <c r="AU621"/>
  <c r="AV621" s="1"/>
  <c r="AW621"/>
  <c r="AX621" s="1"/>
  <c r="AU622"/>
  <c r="AV622" s="1"/>
  <c r="AW622"/>
  <c r="AX622" s="1"/>
  <c r="AU623"/>
  <c r="AV623" s="1"/>
  <c r="AW623"/>
  <c r="AX623" s="1"/>
  <c r="AU624"/>
  <c r="AV624" s="1"/>
  <c r="AW624"/>
  <c r="AX624" s="1"/>
  <c r="AU625"/>
  <c r="AV625" s="1"/>
  <c r="AW625"/>
  <c r="AX625" s="1"/>
  <c r="AU626"/>
  <c r="AV626" s="1"/>
  <c r="AW626"/>
  <c r="AX626" s="1"/>
  <c r="AU627"/>
  <c r="AV627" s="1"/>
  <c r="AW627"/>
  <c r="AX627" s="1"/>
  <c r="AU628"/>
  <c r="AV628" s="1"/>
  <c r="AW628"/>
  <c r="AX628" s="1"/>
  <c r="AU629"/>
  <c r="AV629" s="1"/>
  <c r="AW629"/>
  <c r="AX629" s="1"/>
  <c r="AU630"/>
  <c r="AV630" s="1"/>
  <c r="AW630"/>
  <c r="AX630" s="1"/>
  <c r="AU631"/>
  <c r="AV631" s="1"/>
  <c r="AW631"/>
  <c r="AX631" s="1"/>
  <c r="AU632"/>
  <c r="AV632" s="1"/>
  <c r="AW632"/>
  <c r="AX632" s="1"/>
  <c r="AU633"/>
  <c r="AV633" s="1"/>
  <c r="AW633"/>
  <c r="AX633" s="1"/>
  <c r="AU634"/>
  <c r="AV634" s="1"/>
  <c r="AW634"/>
  <c r="AX634" s="1"/>
  <c r="AU635"/>
  <c r="AV635" s="1"/>
  <c r="AW635"/>
  <c r="AX635" s="1"/>
  <c r="AU636"/>
  <c r="AV636" s="1"/>
  <c r="AW636"/>
  <c r="AX636" s="1"/>
  <c r="AU637"/>
  <c r="AV637" s="1"/>
  <c r="AW637"/>
  <c r="AX637" s="1"/>
  <c r="AU638"/>
  <c r="AV638" s="1"/>
  <c r="AW638"/>
  <c r="AX638" s="1"/>
  <c r="AU639"/>
  <c r="AV639" s="1"/>
  <c r="AW639"/>
  <c r="AX639" s="1"/>
  <c r="AU640"/>
  <c r="AV640" s="1"/>
  <c r="AW640"/>
  <c r="AX640" s="1"/>
  <c r="AU641"/>
  <c r="AV641" s="1"/>
  <c r="AW641"/>
  <c r="AX641" s="1"/>
  <c r="AU642"/>
  <c r="AV642" s="1"/>
  <c r="AW642"/>
  <c r="AX642" s="1"/>
  <c r="AU643"/>
  <c r="AV643" s="1"/>
  <c r="AW643"/>
  <c r="AX643" s="1"/>
  <c r="AU644"/>
  <c r="AV644" s="1"/>
  <c r="AW644"/>
  <c r="AX644" s="1"/>
  <c r="AU645"/>
  <c r="AV645" s="1"/>
  <c r="AW645"/>
  <c r="AX645" s="1"/>
  <c r="AU646"/>
  <c r="AV646" s="1"/>
  <c r="AW646"/>
  <c r="AX646" s="1"/>
  <c r="AU647"/>
  <c r="AV647" s="1"/>
  <c r="AW647"/>
  <c r="AX647" s="1"/>
  <c r="AU648"/>
  <c r="AV648" s="1"/>
  <c r="AW648"/>
  <c r="AX648" s="1"/>
  <c r="AU649"/>
  <c r="AV649" s="1"/>
  <c r="AW649"/>
  <c r="AX649" s="1"/>
  <c r="AU650"/>
  <c r="AV650" s="1"/>
  <c r="AW650"/>
  <c r="AX650" s="1"/>
  <c r="AU651"/>
  <c r="AV651" s="1"/>
  <c r="AW651"/>
  <c r="AX651" s="1"/>
  <c r="AU652"/>
  <c r="AV652" s="1"/>
  <c r="AW652"/>
  <c r="AX652" s="1"/>
  <c r="AU653"/>
  <c r="AV653" s="1"/>
  <c r="AW653"/>
  <c r="AX653" s="1"/>
  <c r="AU654"/>
  <c r="AV654" s="1"/>
  <c r="AW654"/>
  <c r="AX654" s="1"/>
  <c r="AU655"/>
  <c r="AV655" s="1"/>
  <c r="AW655"/>
  <c r="AX655" s="1"/>
  <c r="AU656"/>
  <c r="AV656" s="1"/>
  <c r="AW656"/>
  <c r="AX656" s="1"/>
  <c r="AE170" i="9"/>
  <c r="AD170"/>
  <c r="AD167"/>
  <c r="AE167"/>
  <c r="AL181" i="14" l="1"/>
  <c r="AZ472" i="6"/>
  <c r="AZ471"/>
  <c r="AZ470"/>
  <c r="AZ469"/>
  <c r="AZ468"/>
  <c r="AY471"/>
  <c r="AY469"/>
  <c r="AY467"/>
  <c r="AY472"/>
  <c r="AY470"/>
  <c r="AY468"/>
  <c r="AZ467"/>
  <c r="AW709"/>
  <c r="AX709" s="1"/>
  <c r="AU709"/>
  <c r="AV709" s="1"/>
  <c r="AG709"/>
  <c r="AH709" s="1"/>
  <c r="AE709"/>
  <c r="AF709" s="1"/>
  <c r="AL709"/>
  <c r="AK709"/>
  <c r="Q709"/>
  <c r="R709" s="1"/>
  <c r="AZ709" s="1"/>
  <c r="O709"/>
  <c r="P709" s="1"/>
  <c r="AY709" s="1"/>
  <c r="AW708"/>
  <c r="AX708" s="1"/>
  <c r="AU708"/>
  <c r="AV708" s="1"/>
  <c r="AG708"/>
  <c r="AH708" s="1"/>
  <c r="AE708"/>
  <c r="AF708" s="1"/>
  <c r="AL708"/>
  <c r="AK708"/>
  <c r="Q708"/>
  <c r="R708" s="1"/>
  <c r="AZ708" s="1"/>
  <c r="O708"/>
  <c r="P708" s="1"/>
  <c r="AY708" s="1"/>
  <c r="AW706"/>
  <c r="AX706" s="1"/>
  <c r="AU706"/>
  <c r="AV706" s="1"/>
  <c r="AG706"/>
  <c r="AH706" s="1"/>
  <c r="AE706"/>
  <c r="AF706" s="1"/>
  <c r="AL706"/>
  <c r="AK706"/>
  <c r="Q706"/>
  <c r="R706" s="1"/>
  <c r="AZ706" s="1"/>
  <c r="O706"/>
  <c r="P706" s="1"/>
  <c r="AY706" s="1"/>
  <c r="AW705"/>
  <c r="AX705" s="1"/>
  <c r="AU705"/>
  <c r="AV705" s="1"/>
  <c r="AG705"/>
  <c r="AH705" s="1"/>
  <c r="AE705"/>
  <c r="AF705" s="1"/>
  <c r="AL705"/>
  <c r="AK705"/>
  <c r="Q705"/>
  <c r="R705" s="1"/>
  <c r="AZ705" s="1"/>
  <c r="O705"/>
  <c r="P705" s="1"/>
  <c r="AY705" s="1"/>
  <c r="AW704"/>
  <c r="AX704" s="1"/>
  <c r="AU704"/>
  <c r="AV704" s="1"/>
  <c r="AG704"/>
  <c r="AH704" s="1"/>
  <c r="AE704"/>
  <c r="AF704" s="1"/>
  <c r="AL704"/>
  <c r="AK704"/>
  <c r="Q704"/>
  <c r="R704" s="1"/>
  <c r="AZ704" s="1"/>
  <c r="O704"/>
  <c r="P704" s="1"/>
  <c r="AY704" s="1"/>
  <c r="AW703"/>
  <c r="AX703" s="1"/>
  <c r="AU703"/>
  <c r="AV703" s="1"/>
  <c r="AG703"/>
  <c r="AH703" s="1"/>
  <c r="AE703"/>
  <c r="AF703" s="1"/>
  <c r="AL703"/>
  <c r="AK703"/>
  <c r="Q703"/>
  <c r="R703" s="1"/>
  <c r="AZ703" s="1"/>
  <c r="O703"/>
  <c r="P703" s="1"/>
  <c r="AY703" s="1"/>
  <c r="AW702"/>
  <c r="AX702" s="1"/>
  <c r="AU702"/>
  <c r="AV702" s="1"/>
  <c r="AG702"/>
  <c r="AH702" s="1"/>
  <c r="AE702"/>
  <c r="AF702" s="1"/>
  <c r="AL702"/>
  <c r="AK702"/>
  <c r="Q702"/>
  <c r="R702" s="1"/>
  <c r="AZ702" s="1"/>
  <c r="O702"/>
  <c r="P702" s="1"/>
  <c r="AY702" s="1"/>
  <c r="AW701"/>
  <c r="AX701" s="1"/>
  <c r="AU701"/>
  <c r="AV701" s="1"/>
  <c r="AG701"/>
  <c r="AH701" s="1"/>
  <c r="AE701"/>
  <c r="AF701" s="1"/>
  <c r="AL701"/>
  <c r="AK701"/>
  <c r="Q701"/>
  <c r="R701" s="1"/>
  <c r="AZ701" s="1"/>
  <c r="O701"/>
  <c r="P701" s="1"/>
  <c r="AY701" s="1"/>
  <c r="AW700"/>
  <c r="AX700" s="1"/>
  <c r="AU700"/>
  <c r="AV700" s="1"/>
  <c r="AG700"/>
  <c r="AH700" s="1"/>
  <c r="AE700"/>
  <c r="AF700" s="1"/>
  <c r="AL700"/>
  <c r="AK700"/>
  <c r="Q700"/>
  <c r="R700" s="1"/>
  <c r="AZ700" s="1"/>
  <c r="O700"/>
  <c r="P700" s="1"/>
  <c r="AY700" s="1"/>
  <c r="AW699"/>
  <c r="AX699" s="1"/>
  <c r="AU699"/>
  <c r="AV699" s="1"/>
  <c r="AG699"/>
  <c r="AH699" s="1"/>
  <c r="AE699"/>
  <c r="AF699" s="1"/>
  <c r="AL699"/>
  <c r="AK699"/>
  <c r="Q699"/>
  <c r="R699" s="1"/>
  <c r="AZ699" s="1"/>
  <c r="O699"/>
  <c r="P699" s="1"/>
  <c r="AY699" s="1"/>
  <c r="AW698"/>
  <c r="AX698" s="1"/>
  <c r="AU698"/>
  <c r="AV698" s="1"/>
  <c r="AG698"/>
  <c r="AH698" s="1"/>
  <c r="AE698"/>
  <c r="AF698" s="1"/>
  <c r="AL698"/>
  <c r="AK698"/>
  <c r="Q698"/>
  <c r="R698" s="1"/>
  <c r="AZ698" s="1"/>
  <c r="O698"/>
  <c r="P698" s="1"/>
  <c r="AY698" s="1"/>
  <c r="AW697"/>
  <c r="AX697" s="1"/>
  <c r="AU697"/>
  <c r="AV697" s="1"/>
  <c r="AG697"/>
  <c r="AH697" s="1"/>
  <c r="AE697"/>
  <c r="AF697" s="1"/>
  <c r="AL697"/>
  <c r="AK697"/>
  <c r="Q697"/>
  <c r="R697" s="1"/>
  <c r="AZ697" s="1"/>
  <c r="O697"/>
  <c r="P697" s="1"/>
  <c r="AY697" s="1"/>
  <c r="AW696"/>
  <c r="AX696" s="1"/>
  <c r="AU696"/>
  <c r="AV696" s="1"/>
  <c r="AG696"/>
  <c r="AH696" s="1"/>
  <c r="AE696"/>
  <c r="AF696" s="1"/>
  <c r="AL696"/>
  <c r="AK696"/>
  <c r="Q696"/>
  <c r="R696" s="1"/>
  <c r="AZ696" s="1"/>
  <c r="O696"/>
  <c r="P696" s="1"/>
  <c r="AY696" s="1"/>
  <c r="AW695"/>
  <c r="AX695" s="1"/>
  <c r="AU695"/>
  <c r="AV695" s="1"/>
  <c r="AG695"/>
  <c r="AH695" s="1"/>
  <c r="AE695"/>
  <c r="AF695" s="1"/>
  <c r="AL695"/>
  <c r="AK695"/>
  <c r="Q695"/>
  <c r="R695" s="1"/>
  <c r="AZ695" s="1"/>
  <c r="O695"/>
  <c r="P695" s="1"/>
  <c r="AY695" s="1"/>
  <c r="AW694"/>
  <c r="AX694" s="1"/>
  <c r="AU694"/>
  <c r="AV694" s="1"/>
  <c r="AG694"/>
  <c r="AH694" s="1"/>
  <c r="AE694"/>
  <c r="AF694" s="1"/>
  <c r="AL694"/>
  <c r="AK694"/>
  <c r="Q694"/>
  <c r="R694" s="1"/>
  <c r="AZ694" s="1"/>
  <c r="O694"/>
  <c r="P694" s="1"/>
  <c r="AY694" s="1"/>
  <c r="AW693"/>
  <c r="AX693" s="1"/>
  <c r="AU693"/>
  <c r="AV693" s="1"/>
  <c r="AG693"/>
  <c r="AH693" s="1"/>
  <c r="AE693"/>
  <c r="AF693" s="1"/>
  <c r="AL693"/>
  <c r="AK693"/>
  <c r="Q693"/>
  <c r="R693" s="1"/>
  <c r="AZ693" s="1"/>
  <c r="O693"/>
  <c r="P693" s="1"/>
  <c r="AY693" s="1"/>
  <c r="AW692"/>
  <c r="AX692" s="1"/>
  <c r="AU692"/>
  <c r="AV692" s="1"/>
  <c r="AG692"/>
  <c r="AH692" s="1"/>
  <c r="AE692"/>
  <c r="AF692" s="1"/>
  <c r="AL692"/>
  <c r="AK692"/>
  <c r="Q692"/>
  <c r="O692"/>
  <c r="P692" s="1"/>
  <c r="AY692" s="1"/>
  <c r="AW691"/>
  <c r="AX691" s="1"/>
  <c r="AU691"/>
  <c r="AV691" s="1"/>
  <c r="AG691"/>
  <c r="AH691" s="1"/>
  <c r="AE691"/>
  <c r="AF691" s="1"/>
  <c r="AL691"/>
  <c r="AK691"/>
  <c r="Q691"/>
  <c r="O691"/>
  <c r="P691" s="1"/>
  <c r="AY691" s="1"/>
  <c r="AW690"/>
  <c r="AX690" s="1"/>
  <c r="AU690"/>
  <c r="AV690" s="1"/>
  <c r="AG690"/>
  <c r="AH690" s="1"/>
  <c r="AE690"/>
  <c r="AF690" s="1"/>
  <c r="AL690"/>
  <c r="AK690"/>
  <c r="Q690"/>
  <c r="O690"/>
  <c r="P690" s="1"/>
  <c r="AY690" s="1"/>
  <c r="AW689"/>
  <c r="AX689" s="1"/>
  <c r="AU689"/>
  <c r="AV689" s="1"/>
  <c r="AG689"/>
  <c r="AH689" s="1"/>
  <c r="AE689"/>
  <c r="AF689" s="1"/>
  <c r="AL689"/>
  <c r="AK689"/>
  <c r="Q689"/>
  <c r="O689"/>
  <c r="P689" s="1"/>
  <c r="AY689" s="1"/>
  <c r="AW688"/>
  <c r="AX688" s="1"/>
  <c r="AU688"/>
  <c r="AV688" s="1"/>
  <c r="AG688"/>
  <c r="AH688" s="1"/>
  <c r="AE688"/>
  <c r="AF688" s="1"/>
  <c r="AL688"/>
  <c r="AK688"/>
  <c r="Q688"/>
  <c r="O688"/>
  <c r="P688" s="1"/>
  <c r="AY688" s="1"/>
  <c r="AW687"/>
  <c r="AX687" s="1"/>
  <c r="AU687"/>
  <c r="AV687" s="1"/>
  <c r="AG687"/>
  <c r="AH687" s="1"/>
  <c r="AE687"/>
  <c r="AF687" s="1"/>
  <c r="AL687"/>
  <c r="AK687"/>
  <c r="Q687"/>
  <c r="O687"/>
  <c r="P687" s="1"/>
  <c r="AY687" s="1"/>
  <c r="AW686"/>
  <c r="AX686" s="1"/>
  <c r="AU686"/>
  <c r="AV686" s="1"/>
  <c r="AG686"/>
  <c r="AH686" s="1"/>
  <c r="AE686"/>
  <c r="AF686" s="1"/>
  <c r="AL686"/>
  <c r="AK686"/>
  <c r="Q686"/>
  <c r="O686"/>
  <c r="P686" s="1"/>
  <c r="AY686" s="1"/>
  <c r="AW685"/>
  <c r="AX685" s="1"/>
  <c r="AU685"/>
  <c r="AV685" s="1"/>
  <c r="AG685"/>
  <c r="AH685" s="1"/>
  <c r="AE685"/>
  <c r="AF685" s="1"/>
  <c r="AL685"/>
  <c r="AK685"/>
  <c r="Q685"/>
  <c r="O685"/>
  <c r="P685" s="1"/>
  <c r="AY685" s="1"/>
  <c r="AW684"/>
  <c r="AX684" s="1"/>
  <c r="AU684"/>
  <c r="AV684" s="1"/>
  <c r="AG684"/>
  <c r="AH684" s="1"/>
  <c r="AE684"/>
  <c r="AF684" s="1"/>
  <c r="AL684"/>
  <c r="AK684"/>
  <c r="Q684"/>
  <c r="O684"/>
  <c r="P684" s="1"/>
  <c r="AY684" s="1"/>
  <c r="AW683"/>
  <c r="AX683" s="1"/>
  <c r="AU683"/>
  <c r="AV683" s="1"/>
  <c r="AG683"/>
  <c r="AH683" s="1"/>
  <c r="AE683"/>
  <c r="AF683" s="1"/>
  <c r="AL683"/>
  <c r="AK683"/>
  <c r="Q683"/>
  <c r="O683"/>
  <c r="P683" s="1"/>
  <c r="AY683" s="1"/>
  <c r="AW682"/>
  <c r="AX682" s="1"/>
  <c r="AU682"/>
  <c r="AV682" s="1"/>
  <c r="AG682"/>
  <c r="AH682" s="1"/>
  <c r="AE682"/>
  <c r="AF682" s="1"/>
  <c r="AL682"/>
  <c r="AK682"/>
  <c r="Q682"/>
  <c r="O682"/>
  <c r="P682" s="1"/>
  <c r="AY682" s="1"/>
  <c r="AW681"/>
  <c r="AX681" s="1"/>
  <c r="AU681"/>
  <c r="AV681" s="1"/>
  <c r="AG681"/>
  <c r="AH681" s="1"/>
  <c r="AE681"/>
  <c r="AF681" s="1"/>
  <c r="AL681"/>
  <c r="AK681"/>
  <c r="Q681"/>
  <c r="O681"/>
  <c r="P681" s="1"/>
  <c r="AY681" s="1"/>
  <c r="AW680"/>
  <c r="AX680" s="1"/>
  <c r="AU680"/>
  <c r="AV680" s="1"/>
  <c r="AG680"/>
  <c r="AH680" s="1"/>
  <c r="AE680"/>
  <c r="AF680" s="1"/>
  <c r="AL680"/>
  <c r="AK680"/>
  <c r="Q680"/>
  <c r="O680"/>
  <c r="P680" s="1"/>
  <c r="AY680" s="1"/>
  <c r="AW678"/>
  <c r="AX678" s="1"/>
  <c r="AU678"/>
  <c r="AV678" s="1"/>
  <c r="AG678"/>
  <c r="AH678" s="1"/>
  <c r="AE678"/>
  <c r="AF678" s="1"/>
  <c r="AL678"/>
  <c r="AK678"/>
  <c r="Q678"/>
  <c r="O678"/>
  <c r="P678" s="1"/>
  <c r="AY678" s="1"/>
  <c r="U678"/>
  <c r="AW676"/>
  <c r="AX676" s="1"/>
  <c r="AU676"/>
  <c r="AV676" s="1"/>
  <c r="AG676"/>
  <c r="AH676" s="1"/>
  <c r="AE676"/>
  <c r="AF676" s="1"/>
  <c r="AL676"/>
  <c r="AK676"/>
  <c r="Q676"/>
  <c r="O676"/>
  <c r="P676" s="1"/>
  <c r="AY676" s="1"/>
  <c r="AW679"/>
  <c r="AX679" s="1"/>
  <c r="AU679"/>
  <c r="AV679" s="1"/>
  <c r="AG679"/>
  <c r="AH679" s="1"/>
  <c r="AE679"/>
  <c r="AF679" s="1"/>
  <c r="AL679"/>
  <c r="AK679"/>
  <c r="Q679"/>
  <c r="R679" s="1"/>
  <c r="AZ679" s="1"/>
  <c r="O679"/>
  <c r="P679" s="1"/>
  <c r="AY679" s="1"/>
  <c r="AW677"/>
  <c r="AX677" s="1"/>
  <c r="AU677"/>
  <c r="AV677" s="1"/>
  <c r="AG677"/>
  <c r="AH677" s="1"/>
  <c r="AE677"/>
  <c r="AF677" s="1"/>
  <c r="AL677"/>
  <c r="AK677"/>
  <c r="Q677"/>
  <c r="R677" s="1"/>
  <c r="AZ677" s="1"/>
  <c r="O677"/>
  <c r="P677" s="1"/>
  <c r="AY677" s="1"/>
  <c r="U677"/>
  <c r="AW675"/>
  <c r="AX675" s="1"/>
  <c r="AU675"/>
  <c r="AV675" s="1"/>
  <c r="AG675"/>
  <c r="AH675" s="1"/>
  <c r="AE675"/>
  <c r="AF675" s="1"/>
  <c r="AL675"/>
  <c r="AK675"/>
  <c r="Q675"/>
  <c r="R675" s="1"/>
  <c r="AZ675" s="1"/>
  <c r="O675"/>
  <c r="P675" s="1"/>
  <c r="AY675" s="1"/>
  <c r="AW674"/>
  <c r="AX674" s="1"/>
  <c r="AU674"/>
  <c r="AV674" s="1"/>
  <c r="AG674"/>
  <c r="AH674" s="1"/>
  <c r="AE674"/>
  <c r="AF674" s="1"/>
  <c r="AL674"/>
  <c r="AK674"/>
  <c r="Q674"/>
  <c r="R674" s="1"/>
  <c r="AZ674" s="1"/>
  <c r="O674"/>
  <c r="P674" s="1"/>
  <c r="AY674" s="1"/>
  <c r="AW670"/>
  <c r="AX670" s="1"/>
  <c r="AU670"/>
  <c r="AV670" s="1"/>
  <c r="AG670"/>
  <c r="AH670" s="1"/>
  <c r="AE670"/>
  <c r="AF670" s="1"/>
  <c r="AL670"/>
  <c r="AK670"/>
  <c r="Q670"/>
  <c r="R670" s="1"/>
  <c r="AZ670" s="1"/>
  <c r="O670"/>
  <c r="P670" s="1"/>
  <c r="AY670" s="1"/>
  <c r="AW673"/>
  <c r="AX673" s="1"/>
  <c r="AU673"/>
  <c r="AV673" s="1"/>
  <c r="AG673"/>
  <c r="AH673" s="1"/>
  <c r="AE673"/>
  <c r="AF673" s="1"/>
  <c r="AL673"/>
  <c r="AK673"/>
  <c r="Q673"/>
  <c r="R673" s="1"/>
  <c r="AZ673" s="1"/>
  <c r="O673"/>
  <c r="P673" s="1"/>
  <c r="AY673" s="1"/>
  <c r="U673"/>
  <c r="AW672"/>
  <c r="AX672" s="1"/>
  <c r="AU672"/>
  <c r="AV672" s="1"/>
  <c r="AG672"/>
  <c r="AH672" s="1"/>
  <c r="AE672"/>
  <c r="AF672" s="1"/>
  <c r="AL672"/>
  <c r="AK672"/>
  <c r="Q672"/>
  <c r="R672" s="1"/>
  <c r="AZ672" s="1"/>
  <c r="O672"/>
  <c r="P672" s="1"/>
  <c r="AY672" s="1"/>
  <c r="U672"/>
  <c r="AW671"/>
  <c r="AX671" s="1"/>
  <c r="AU671"/>
  <c r="AV671" s="1"/>
  <c r="AG671"/>
  <c r="AH671" s="1"/>
  <c r="AE671"/>
  <c r="AF671" s="1"/>
  <c r="AL671"/>
  <c r="AK671"/>
  <c r="Q671"/>
  <c r="R671" s="1"/>
  <c r="AZ671" s="1"/>
  <c r="O671"/>
  <c r="P671" s="1"/>
  <c r="AY671" s="1"/>
  <c r="U671"/>
  <c r="AW669"/>
  <c r="AX669" s="1"/>
  <c r="AU669"/>
  <c r="AV669" s="1"/>
  <c r="AG669"/>
  <c r="AH669" s="1"/>
  <c r="AE669"/>
  <c r="AF669" s="1"/>
  <c r="AL669"/>
  <c r="AK669"/>
  <c r="R669"/>
  <c r="AZ669" s="1"/>
  <c r="O669"/>
  <c r="P669" s="1"/>
  <c r="AY669" s="1"/>
  <c r="AA8" i="16"/>
  <c r="AB8"/>
  <c r="AC8"/>
  <c r="AA11"/>
  <c r="AB11"/>
  <c r="AB12" s="1"/>
  <c r="W11" i="14" s="1"/>
  <c r="AC11" i="16"/>
  <c r="AA12"/>
  <c r="AC12"/>
  <c r="AA15"/>
  <c r="AB15"/>
  <c r="AC15"/>
  <c r="AA18"/>
  <c r="AA19" s="1"/>
  <c r="U12" i="14" s="1"/>
  <c r="AB18" i="16"/>
  <c r="AC18"/>
  <c r="AC19" s="1"/>
  <c r="Y12" i="14" s="1"/>
  <c r="AB19" i="16"/>
  <c r="AA22"/>
  <c r="AB22"/>
  <c r="AC22"/>
  <c r="AA25"/>
  <c r="AB25"/>
  <c r="AB26" s="1"/>
  <c r="W13" i="14" s="1"/>
  <c r="AC25" i="16"/>
  <c r="AA26"/>
  <c r="AC26"/>
  <c r="AA29"/>
  <c r="AB29"/>
  <c r="AC29"/>
  <c r="AA32"/>
  <c r="AA33" s="1"/>
  <c r="U14" i="14" s="1"/>
  <c r="AB32" i="16"/>
  <c r="AC32"/>
  <c r="AC33" s="1"/>
  <c r="Y14" i="14" s="1"/>
  <c r="AB33" i="16"/>
  <c r="AA36"/>
  <c r="AB36"/>
  <c r="AC36"/>
  <c r="AA39"/>
  <c r="AB39"/>
  <c r="AB40" s="1"/>
  <c r="W16" i="14" s="1"/>
  <c r="AC39" i="16"/>
  <c r="AA40"/>
  <c r="AC40"/>
  <c r="AA43"/>
  <c r="AB43"/>
  <c r="AC43"/>
  <c r="AA46"/>
  <c r="AA47" s="1"/>
  <c r="U17" i="14" s="1"/>
  <c r="AB46" i="16"/>
  <c r="AC46"/>
  <c r="AC47" s="1"/>
  <c r="Y17" i="14" s="1"/>
  <c r="AB47" i="16"/>
  <c r="AA50"/>
  <c r="AB50"/>
  <c r="AC50"/>
  <c r="AA53"/>
  <c r="AB53"/>
  <c r="AB54" s="1"/>
  <c r="W18" i="14" s="1"/>
  <c r="AC53" i="16"/>
  <c r="AA54"/>
  <c r="AC54"/>
  <c r="AA57"/>
  <c r="AB57"/>
  <c r="AC57"/>
  <c r="AA60"/>
  <c r="AA61" s="1"/>
  <c r="U19" i="14" s="1"/>
  <c r="AB60" i="16"/>
  <c r="AC60"/>
  <c r="AC61" s="1"/>
  <c r="Y19" i="14" s="1"/>
  <c r="AB61" i="16"/>
  <c r="AA64"/>
  <c r="AB64"/>
  <c r="AC64"/>
  <c r="AA67"/>
  <c r="AB67"/>
  <c r="AB68" s="1"/>
  <c r="W21" i="14" s="1"/>
  <c r="AC67" i="16"/>
  <c r="AA68"/>
  <c r="AC68"/>
  <c r="AA71"/>
  <c r="AB71"/>
  <c r="AC71"/>
  <c r="AA74"/>
  <c r="AA75" s="1"/>
  <c r="U22" i="14" s="1"/>
  <c r="AB74" i="16"/>
  <c r="AC74"/>
  <c r="AC75" s="1"/>
  <c r="Y22" i="14" s="1"/>
  <c r="AB75" i="16"/>
  <c r="AA78"/>
  <c r="AB78"/>
  <c r="AC78"/>
  <c r="AA81"/>
  <c r="AB81"/>
  <c r="AB82" s="1"/>
  <c r="W23" i="14" s="1"/>
  <c r="AC81" i="16"/>
  <c r="AA82"/>
  <c r="AC82"/>
  <c r="AA85"/>
  <c r="AB85"/>
  <c r="AC85"/>
  <c r="AA88"/>
  <c r="AA89" s="1"/>
  <c r="U24" i="14" s="1"/>
  <c r="AB88" i="16"/>
  <c r="AC88"/>
  <c r="AC89" s="1"/>
  <c r="Y24" i="14" s="1"/>
  <c r="AB89" i="16"/>
  <c r="AA92"/>
  <c r="AB92"/>
  <c r="AC92"/>
  <c r="AA95"/>
  <c r="AB95"/>
  <c r="AB96" s="1"/>
  <c r="W26" i="14" s="1"/>
  <c r="AC95" i="16"/>
  <c r="AA96"/>
  <c r="AC96"/>
  <c r="AA99"/>
  <c r="AB99"/>
  <c r="AC99"/>
  <c r="AA102"/>
  <c r="AA103" s="1"/>
  <c r="U27" i="14" s="1"/>
  <c r="AB102" i="16"/>
  <c r="AC102"/>
  <c r="AC103" s="1"/>
  <c r="Y27" i="14" s="1"/>
  <c r="AB103" i="16"/>
  <c r="AA106"/>
  <c r="AB106"/>
  <c r="AC106"/>
  <c r="AA109"/>
  <c r="AB109"/>
  <c r="AB110" s="1"/>
  <c r="W28" i="14" s="1"/>
  <c r="AC109" i="16"/>
  <c r="AA110"/>
  <c r="AC110"/>
  <c r="AA113"/>
  <c r="AB113"/>
  <c r="AC113"/>
  <c r="AA116"/>
  <c r="AA117" s="1"/>
  <c r="U29" i="14" s="1"/>
  <c r="AB116" i="16"/>
  <c r="AC116"/>
  <c r="AC117" s="1"/>
  <c r="Y29" i="14" s="1"/>
  <c r="AB117" i="16"/>
  <c r="AW730" i="6"/>
  <c r="AX730" s="1"/>
  <c r="AU730"/>
  <c r="AV730" s="1"/>
  <c r="AG730"/>
  <c r="AH730" s="1"/>
  <c r="AE730"/>
  <c r="AF730" s="1"/>
  <c r="AL730"/>
  <c r="AK730"/>
  <c r="Q730"/>
  <c r="R730" s="1"/>
  <c r="AZ730" s="1"/>
  <c r="O730"/>
  <c r="P730" s="1"/>
  <c r="AY730" s="1"/>
  <c r="AW729"/>
  <c r="AX729" s="1"/>
  <c r="AU729"/>
  <c r="AV729" s="1"/>
  <c r="AG729"/>
  <c r="AH729" s="1"/>
  <c r="AE729"/>
  <c r="AF729" s="1"/>
  <c r="AL729"/>
  <c r="AK729"/>
  <c r="Q729"/>
  <c r="R729" s="1"/>
  <c r="AZ729" s="1"/>
  <c r="O729"/>
  <c r="P729" s="1"/>
  <c r="AY729" s="1"/>
  <c r="AW728"/>
  <c r="AX728" s="1"/>
  <c r="AU728"/>
  <c r="AV728" s="1"/>
  <c r="AG728"/>
  <c r="AH728" s="1"/>
  <c r="AE728"/>
  <c r="AF728" s="1"/>
  <c r="AL728"/>
  <c r="AK728"/>
  <c r="Q728"/>
  <c r="R728" s="1"/>
  <c r="AZ728" s="1"/>
  <c r="O728"/>
  <c r="P728" s="1"/>
  <c r="AY728" s="1"/>
  <c r="AW727"/>
  <c r="AX727" s="1"/>
  <c r="AU727"/>
  <c r="AV727" s="1"/>
  <c r="AG727"/>
  <c r="AH727" s="1"/>
  <c r="AE727"/>
  <c r="AF727" s="1"/>
  <c r="AL727"/>
  <c r="AK727"/>
  <c r="Q727"/>
  <c r="R727" s="1"/>
  <c r="AZ727" s="1"/>
  <c r="O727"/>
  <c r="P727" s="1"/>
  <c r="AY727" s="1"/>
  <c r="AW726"/>
  <c r="AX726" s="1"/>
  <c r="AU726"/>
  <c r="AV726" s="1"/>
  <c r="AG726"/>
  <c r="AH726" s="1"/>
  <c r="AE726"/>
  <c r="AF726" s="1"/>
  <c r="AL726"/>
  <c r="AK726"/>
  <c r="Q726"/>
  <c r="R726" s="1"/>
  <c r="AZ726" s="1"/>
  <c r="O726"/>
  <c r="P726" s="1"/>
  <c r="AY726" s="1"/>
  <c r="AW725"/>
  <c r="AX725" s="1"/>
  <c r="AU725"/>
  <c r="AV725" s="1"/>
  <c r="AG725"/>
  <c r="AH725" s="1"/>
  <c r="AE725"/>
  <c r="AF725" s="1"/>
  <c r="AL725"/>
  <c r="AK725"/>
  <c r="Q725"/>
  <c r="R725" s="1"/>
  <c r="AZ725" s="1"/>
  <c r="O725"/>
  <c r="P725" s="1"/>
  <c r="AY725" s="1"/>
  <c r="AW724"/>
  <c r="AX724" s="1"/>
  <c r="AU724"/>
  <c r="AV724" s="1"/>
  <c r="AG724"/>
  <c r="AH724" s="1"/>
  <c r="AE724"/>
  <c r="AF724" s="1"/>
  <c r="AL724"/>
  <c r="AK724"/>
  <c r="Q724"/>
  <c r="R724" s="1"/>
  <c r="AZ724" s="1"/>
  <c r="O724"/>
  <c r="P724" s="1"/>
  <c r="AY724" s="1"/>
  <c r="AW723"/>
  <c r="AX723" s="1"/>
  <c r="AU723"/>
  <c r="AV723" s="1"/>
  <c r="AG723"/>
  <c r="AH723" s="1"/>
  <c r="AE723"/>
  <c r="AF723" s="1"/>
  <c r="AL723"/>
  <c r="AK723"/>
  <c r="Q723"/>
  <c r="R723" s="1"/>
  <c r="AZ723" s="1"/>
  <c r="O723"/>
  <c r="P723" s="1"/>
  <c r="AY723" s="1"/>
  <c r="AW722"/>
  <c r="AX722" s="1"/>
  <c r="AU722"/>
  <c r="AV722" s="1"/>
  <c r="AG722"/>
  <c r="AH722" s="1"/>
  <c r="AE722"/>
  <c r="AF722" s="1"/>
  <c r="AL722"/>
  <c r="AK722"/>
  <c r="Q722"/>
  <c r="R722" s="1"/>
  <c r="AZ722" s="1"/>
  <c r="O722"/>
  <c r="P722" s="1"/>
  <c r="AY722" s="1"/>
  <c r="AW721"/>
  <c r="AX721" s="1"/>
  <c r="AU721"/>
  <c r="AV721" s="1"/>
  <c r="AG721"/>
  <c r="AH721" s="1"/>
  <c r="AE721"/>
  <c r="AF721" s="1"/>
  <c r="AL721"/>
  <c r="AK721"/>
  <c r="Q721"/>
  <c r="R721" s="1"/>
  <c r="AZ721" s="1"/>
  <c r="O721"/>
  <c r="P721" s="1"/>
  <c r="AY721" s="1"/>
  <c r="AW720"/>
  <c r="AX720" s="1"/>
  <c r="AU720"/>
  <c r="AV720" s="1"/>
  <c r="AG720"/>
  <c r="AH720" s="1"/>
  <c r="AE720"/>
  <c r="AF720" s="1"/>
  <c r="AL720"/>
  <c r="AK720"/>
  <c r="Q720"/>
  <c r="R720" s="1"/>
  <c r="AZ720" s="1"/>
  <c r="O720"/>
  <c r="P720" s="1"/>
  <c r="AY720" s="1"/>
  <c r="AW719"/>
  <c r="AX719" s="1"/>
  <c r="AU719"/>
  <c r="AV719" s="1"/>
  <c r="AG719"/>
  <c r="AH719" s="1"/>
  <c r="AE719"/>
  <c r="AF719" s="1"/>
  <c r="AL719"/>
  <c r="AK719"/>
  <c r="Q719"/>
  <c r="R719" s="1"/>
  <c r="AZ719" s="1"/>
  <c r="O719"/>
  <c r="P719" s="1"/>
  <c r="AY719" s="1"/>
  <c r="AW718"/>
  <c r="AX718" s="1"/>
  <c r="AU718"/>
  <c r="AV718" s="1"/>
  <c r="AG718"/>
  <c r="AH718" s="1"/>
  <c r="AE718"/>
  <c r="AF718" s="1"/>
  <c r="AL718"/>
  <c r="AK718"/>
  <c r="Q718"/>
  <c r="R718" s="1"/>
  <c r="AZ718" s="1"/>
  <c r="O718"/>
  <c r="P718" s="1"/>
  <c r="AY718" s="1"/>
  <c r="AW717"/>
  <c r="AX717" s="1"/>
  <c r="AU717"/>
  <c r="AV717" s="1"/>
  <c r="AG717"/>
  <c r="AH717" s="1"/>
  <c r="AE717"/>
  <c r="AF717" s="1"/>
  <c r="AL717"/>
  <c r="AK717"/>
  <c r="Q717"/>
  <c r="R717" s="1"/>
  <c r="AZ717" s="1"/>
  <c r="O717"/>
  <c r="P717" s="1"/>
  <c r="AY717" s="1"/>
  <c r="AW716"/>
  <c r="AX716" s="1"/>
  <c r="AU716"/>
  <c r="AV716" s="1"/>
  <c r="AG716"/>
  <c r="AH716" s="1"/>
  <c r="AE716"/>
  <c r="AF716" s="1"/>
  <c r="AL716"/>
  <c r="AK716"/>
  <c r="Q716"/>
  <c r="R716" s="1"/>
  <c r="AZ716" s="1"/>
  <c r="O716"/>
  <c r="P716" s="1"/>
  <c r="AY716" s="1"/>
  <c r="AW715"/>
  <c r="AX715" s="1"/>
  <c r="AU715"/>
  <c r="AV715" s="1"/>
  <c r="AG715"/>
  <c r="AH715" s="1"/>
  <c r="AE715"/>
  <c r="AF715" s="1"/>
  <c r="AL715"/>
  <c r="AK715"/>
  <c r="Q715"/>
  <c r="R715" s="1"/>
  <c r="AZ715" s="1"/>
  <c r="O715"/>
  <c r="P715" s="1"/>
  <c r="AY715" s="1"/>
  <c r="AW714"/>
  <c r="AX714" s="1"/>
  <c r="AU714"/>
  <c r="AV714" s="1"/>
  <c r="AG714"/>
  <c r="AH714" s="1"/>
  <c r="AE714"/>
  <c r="AF714" s="1"/>
  <c r="AL714"/>
  <c r="AK714"/>
  <c r="Q714"/>
  <c r="R714" s="1"/>
  <c r="AZ714" s="1"/>
  <c r="O714"/>
  <c r="P714" s="1"/>
  <c r="AY714" s="1"/>
  <c r="AW713"/>
  <c r="AX713" s="1"/>
  <c r="AU713"/>
  <c r="AV713" s="1"/>
  <c r="AG713"/>
  <c r="AH713" s="1"/>
  <c r="AE713"/>
  <c r="AF713" s="1"/>
  <c r="AL713"/>
  <c r="AK713"/>
  <c r="Q713"/>
  <c r="R713" s="1"/>
  <c r="AZ713" s="1"/>
  <c r="O713"/>
  <c r="P713" s="1"/>
  <c r="AY713" s="1"/>
  <c r="AW712"/>
  <c r="AX712" s="1"/>
  <c r="AU712"/>
  <c r="AV712" s="1"/>
  <c r="AG712"/>
  <c r="AH712" s="1"/>
  <c r="AE712"/>
  <c r="AF712" s="1"/>
  <c r="AL712"/>
  <c r="AK712"/>
  <c r="Q712"/>
  <c r="R712" s="1"/>
  <c r="AZ712" s="1"/>
  <c r="O712"/>
  <c r="P712" s="1"/>
  <c r="AY712" s="1"/>
  <c r="AW711"/>
  <c r="AX711" s="1"/>
  <c r="AU711"/>
  <c r="AV711" s="1"/>
  <c r="AG711"/>
  <c r="AH711" s="1"/>
  <c r="AE711"/>
  <c r="AF711" s="1"/>
  <c r="AL711"/>
  <c r="AK711"/>
  <c r="Q711"/>
  <c r="R711" s="1"/>
  <c r="AZ711" s="1"/>
  <c r="O711"/>
  <c r="P711" s="1"/>
  <c r="AY711" s="1"/>
  <c r="AW710"/>
  <c r="AX710" s="1"/>
  <c r="AU710"/>
  <c r="AV710" s="1"/>
  <c r="AG710"/>
  <c r="AH710" s="1"/>
  <c r="AE710"/>
  <c r="AF710" s="1"/>
  <c r="AL710"/>
  <c r="AK710"/>
  <c r="Q710"/>
  <c r="R710" s="1"/>
  <c r="AZ710" s="1"/>
  <c r="O710"/>
  <c r="P710" s="1"/>
  <c r="AY710" s="1"/>
  <c r="AW668"/>
  <c r="AX668" s="1"/>
  <c r="AU668"/>
  <c r="AV668" s="1"/>
  <c r="AG668"/>
  <c r="AH668" s="1"/>
  <c r="AE668"/>
  <c r="AF668" s="1"/>
  <c r="AL668"/>
  <c r="AK668"/>
  <c r="Q668"/>
  <c r="R668" s="1"/>
  <c r="AZ668" s="1"/>
  <c r="O668"/>
  <c r="P668" s="1"/>
  <c r="AY668" s="1"/>
  <c r="V668"/>
  <c r="U668"/>
  <c r="AW667"/>
  <c r="AX667" s="1"/>
  <c r="AU667"/>
  <c r="AV667" s="1"/>
  <c r="AG667"/>
  <c r="AH667" s="1"/>
  <c r="AE667"/>
  <c r="AF667" s="1"/>
  <c r="AL667"/>
  <c r="AK667"/>
  <c r="Q667"/>
  <c r="R667" s="1"/>
  <c r="AZ667" s="1"/>
  <c r="O667"/>
  <c r="P667" s="1"/>
  <c r="AY667" s="1"/>
  <c r="V667"/>
  <c r="U667"/>
  <c r="AW666"/>
  <c r="AX666" s="1"/>
  <c r="AU666"/>
  <c r="AV666" s="1"/>
  <c r="AG666"/>
  <c r="AH666" s="1"/>
  <c r="AE666"/>
  <c r="AF666" s="1"/>
  <c r="AL666"/>
  <c r="AK666"/>
  <c r="Q666"/>
  <c r="R666" s="1"/>
  <c r="AZ666" s="1"/>
  <c r="O666"/>
  <c r="P666" s="1"/>
  <c r="AY666" s="1"/>
  <c r="V666"/>
  <c r="U666"/>
  <c r="AW665"/>
  <c r="AX665" s="1"/>
  <c r="AU665"/>
  <c r="AV665" s="1"/>
  <c r="AW664"/>
  <c r="AX664" s="1"/>
  <c r="AU664"/>
  <c r="AV664" s="1"/>
  <c r="AW663"/>
  <c r="AX663" s="1"/>
  <c r="AU663"/>
  <c r="AV663" s="1"/>
  <c r="AW662"/>
  <c r="AX662" s="1"/>
  <c r="AU662"/>
  <c r="AV662" s="1"/>
  <c r="AD662"/>
  <c r="AC662"/>
  <c r="AB662"/>
  <c r="AA662"/>
  <c r="Z662"/>
  <c r="Y662"/>
  <c r="X662"/>
  <c r="AG662" s="1"/>
  <c r="AH662" s="1"/>
  <c r="W662"/>
  <c r="T662"/>
  <c r="S662"/>
  <c r="N662"/>
  <c r="M662"/>
  <c r="L662"/>
  <c r="K662"/>
  <c r="J662"/>
  <c r="I662"/>
  <c r="H662"/>
  <c r="Q662" s="1"/>
  <c r="R662" s="1"/>
  <c r="G662"/>
  <c r="AW661"/>
  <c r="AX661" s="1"/>
  <c r="AU661"/>
  <c r="AV661" s="1"/>
  <c r="AD661"/>
  <c r="AC661"/>
  <c r="AB661"/>
  <c r="AA661"/>
  <c r="Z661"/>
  <c r="Y661"/>
  <c r="X661"/>
  <c r="W661"/>
  <c r="T661"/>
  <c r="S661"/>
  <c r="N661"/>
  <c r="M661"/>
  <c r="L661"/>
  <c r="K661"/>
  <c r="J661"/>
  <c r="I661"/>
  <c r="H661"/>
  <c r="G661"/>
  <c r="AW660"/>
  <c r="AX660" s="1"/>
  <c r="AU660"/>
  <c r="AV660" s="1"/>
  <c r="AD660"/>
  <c r="AC660"/>
  <c r="AB660"/>
  <c r="AA660"/>
  <c r="Z660"/>
  <c r="Y660"/>
  <c r="X660"/>
  <c r="AG660" s="1"/>
  <c r="AH660" s="1"/>
  <c r="W660"/>
  <c r="AE660" s="1"/>
  <c r="AF660" s="1"/>
  <c r="T660"/>
  <c r="S660"/>
  <c r="N660"/>
  <c r="M660"/>
  <c r="L660"/>
  <c r="K660"/>
  <c r="J660"/>
  <c r="I660"/>
  <c r="H660"/>
  <c r="Q660" s="1"/>
  <c r="R660" s="1"/>
  <c r="AZ660" s="1"/>
  <c r="G660"/>
  <c r="O660" s="1"/>
  <c r="P660" s="1"/>
  <c r="AY660" s="1"/>
  <c r="AW659"/>
  <c r="AX659" s="1"/>
  <c r="AU659"/>
  <c r="AV659" s="1"/>
  <c r="AD659"/>
  <c r="AC659"/>
  <c r="AB659"/>
  <c r="AA659"/>
  <c r="Z659"/>
  <c r="Y659"/>
  <c r="X659"/>
  <c r="W659"/>
  <c r="AE659" s="1"/>
  <c r="AF659" s="1"/>
  <c r="T659"/>
  <c r="S659"/>
  <c r="N659"/>
  <c r="M659"/>
  <c r="L659"/>
  <c r="K659"/>
  <c r="J659"/>
  <c r="I659"/>
  <c r="H659"/>
  <c r="G659"/>
  <c r="O659" s="1"/>
  <c r="P659" s="1"/>
  <c r="AY659" s="1"/>
  <c r="AW658"/>
  <c r="AX658" s="1"/>
  <c r="AU658"/>
  <c r="AV658" s="1"/>
  <c r="AD658"/>
  <c r="AC658"/>
  <c r="AB658"/>
  <c r="AA658"/>
  <c r="Z658"/>
  <c r="Y658"/>
  <c r="X658"/>
  <c r="AG658" s="1"/>
  <c r="AH658" s="1"/>
  <c r="W658"/>
  <c r="AE658" s="1"/>
  <c r="AF658" s="1"/>
  <c r="T658"/>
  <c r="S658"/>
  <c r="N658"/>
  <c r="M658"/>
  <c r="L658"/>
  <c r="K658"/>
  <c r="J658"/>
  <c r="I658"/>
  <c r="H658"/>
  <c r="Q658" s="1"/>
  <c r="R658" s="1"/>
  <c r="AZ658" s="1"/>
  <c r="G658"/>
  <c r="O658" s="1"/>
  <c r="P658" s="1"/>
  <c r="AY658" s="1"/>
  <c r="AW657"/>
  <c r="AX657" s="1"/>
  <c r="AU657"/>
  <c r="AV657" s="1"/>
  <c r="AD657"/>
  <c r="AC657"/>
  <c r="AB657"/>
  <c r="AA657"/>
  <c r="Z657"/>
  <c r="Y657"/>
  <c r="X657"/>
  <c r="AG657" s="1"/>
  <c r="AH657" s="1"/>
  <c r="W657"/>
  <c r="AE657" s="1"/>
  <c r="AF657" s="1"/>
  <c r="T657"/>
  <c r="S657"/>
  <c r="N657"/>
  <c r="M657"/>
  <c r="L657"/>
  <c r="K657"/>
  <c r="J657"/>
  <c r="I657"/>
  <c r="H657"/>
  <c r="Q657" s="1"/>
  <c r="R657" s="1"/>
  <c r="AZ657" s="1"/>
  <c r="G657"/>
  <c r="O657" s="1"/>
  <c r="P657" s="1"/>
  <c r="AY657" s="1"/>
  <c r="AG656"/>
  <c r="AH656" s="1"/>
  <c r="AE656"/>
  <c r="AF656" s="1"/>
  <c r="AL656"/>
  <c r="AK656"/>
  <c r="Q656"/>
  <c r="R656" s="1"/>
  <c r="AZ656" s="1"/>
  <c r="O656"/>
  <c r="P656" s="1"/>
  <c r="AY656" s="1"/>
  <c r="AG655"/>
  <c r="AH655" s="1"/>
  <c r="AE655"/>
  <c r="AF655" s="1"/>
  <c r="AL655"/>
  <c r="AK655"/>
  <c r="Q655"/>
  <c r="R655" s="1"/>
  <c r="AZ655" s="1"/>
  <c r="O655"/>
  <c r="P655" s="1"/>
  <c r="AY655" s="1"/>
  <c r="AG654"/>
  <c r="AH654" s="1"/>
  <c r="AE654"/>
  <c r="AF654" s="1"/>
  <c r="AL654"/>
  <c r="AK654"/>
  <c r="Q654"/>
  <c r="R654" s="1"/>
  <c r="AZ654" s="1"/>
  <c r="O654"/>
  <c r="P654" s="1"/>
  <c r="AY654" s="1"/>
  <c r="AG653"/>
  <c r="AH653" s="1"/>
  <c r="AE653"/>
  <c r="AF653" s="1"/>
  <c r="AL653"/>
  <c r="AK653"/>
  <c r="Q653"/>
  <c r="R653" s="1"/>
  <c r="AZ653" s="1"/>
  <c r="O653"/>
  <c r="P653" s="1"/>
  <c r="AY653" s="1"/>
  <c r="AG652"/>
  <c r="AH652" s="1"/>
  <c r="AE652"/>
  <c r="AF652" s="1"/>
  <c r="AL652"/>
  <c r="AK652"/>
  <c r="Q652"/>
  <c r="R652" s="1"/>
  <c r="AZ652" s="1"/>
  <c r="O652"/>
  <c r="P652" s="1"/>
  <c r="AY652" s="1"/>
  <c r="AG651"/>
  <c r="AH651" s="1"/>
  <c r="AE651"/>
  <c r="AF651" s="1"/>
  <c r="AL651"/>
  <c r="AK651"/>
  <c r="Q651"/>
  <c r="R651" s="1"/>
  <c r="AZ651" s="1"/>
  <c r="O651"/>
  <c r="P651" s="1"/>
  <c r="AY651" s="1"/>
  <c r="AG650"/>
  <c r="AH650" s="1"/>
  <c r="AE650"/>
  <c r="AF650" s="1"/>
  <c r="AL650"/>
  <c r="AK650"/>
  <c r="Q650"/>
  <c r="R650" s="1"/>
  <c r="AZ650" s="1"/>
  <c r="O650"/>
  <c r="P650" s="1"/>
  <c r="AY650" s="1"/>
  <c r="AG649"/>
  <c r="AH649" s="1"/>
  <c r="AE649"/>
  <c r="AF649" s="1"/>
  <c r="AL649"/>
  <c r="AK649"/>
  <c r="Q649"/>
  <c r="R649" s="1"/>
  <c r="AZ649" s="1"/>
  <c r="O649"/>
  <c r="P649" s="1"/>
  <c r="AY649" s="1"/>
  <c r="AG648"/>
  <c r="AH648" s="1"/>
  <c r="AE648"/>
  <c r="AF648" s="1"/>
  <c r="AL648"/>
  <c r="AK648"/>
  <c r="Q648"/>
  <c r="R648" s="1"/>
  <c r="AZ648" s="1"/>
  <c r="O648"/>
  <c r="P648" s="1"/>
  <c r="AY648" s="1"/>
  <c r="AG647"/>
  <c r="AH647" s="1"/>
  <c r="AE647"/>
  <c r="AF647" s="1"/>
  <c r="AL647"/>
  <c r="AK647"/>
  <c r="Q647"/>
  <c r="R647" s="1"/>
  <c r="AZ647" s="1"/>
  <c r="O647"/>
  <c r="P647" s="1"/>
  <c r="AY647" s="1"/>
  <c r="AG646"/>
  <c r="AH646" s="1"/>
  <c r="AE646"/>
  <c r="AF646" s="1"/>
  <c r="AL646"/>
  <c r="AK646"/>
  <c r="Q646"/>
  <c r="R646" s="1"/>
  <c r="AZ646" s="1"/>
  <c r="O646"/>
  <c r="P646" s="1"/>
  <c r="AY646" s="1"/>
  <c r="AG645"/>
  <c r="AH645" s="1"/>
  <c r="AE645"/>
  <c r="AF645" s="1"/>
  <c r="AL645"/>
  <c r="AK645"/>
  <c r="Q645"/>
  <c r="R645" s="1"/>
  <c r="AZ645" s="1"/>
  <c r="O645"/>
  <c r="P645" s="1"/>
  <c r="AY645" s="1"/>
  <c r="AG644"/>
  <c r="AH644" s="1"/>
  <c r="AE644"/>
  <c r="AF644" s="1"/>
  <c r="AL644"/>
  <c r="AK644"/>
  <c r="Q644"/>
  <c r="R644" s="1"/>
  <c r="AZ644" s="1"/>
  <c r="O644"/>
  <c r="P644" s="1"/>
  <c r="AY644" s="1"/>
  <c r="AG643"/>
  <c r="AH643" s="1"/>
  <c r="AE643"/>
  <c r="AF643" s="1"/>
  <c r="AL643"/>
  <c r="AK643"/>
  <c r="Q643"/>
  <c r="R643" s="1"/>
  <c r="AZ643" s="1"/>
  <c r="O643"/>
  <c r="P643" s="1"/>
  <c r="AY643" s="1"/>
  <c r="AG642"/>
  <c r="AH642" s="1"/>
  <c r="AE642"/>
  <c r="AF642" s="1"/>
  <c r="AL642"/>
  <c r="AK642"/>
  <c r="Q642"/>
  <c r="R642" s="1"/>
  <c r="AZ642" s="1"/>
  <c r="O642"/>
  <c r="P642" s="1"/>
  <c r="AY642" s="1"/>
  <c r="AG641"/>
  <c r="AH641" s="1"/>
  <c r="AE641"/>
  <c r="AF641" s="1"/>
  <c r="AL641"/>
  <c r="AK641"/>
  <c r="Q641"/>
  <c r="R641" s="1"/>
  <c r="AZ641" s="1"/>
  <c r="O641"/>
  <c r="P641" s="1"/>
  <c r="AY641" s="1"/>
  <c r="AG640"/>
  <c r="AH640" s="1"/>
  <c r="AE640"/>
  <c r="AF640" s="1"/>
  <c r="AL640"/>
  <c r="AK640"/>
  <c r="Q640"/>
  <c r="R640" s="1"/>
  <c r="AZ640" s="1"/>
  <c r="O640"/>
  <c r="P640" s="1"/>
  <c r="AY640" s="1"/>
  <c r="AG639"/>
  <c r="AH639" s="1"/>
  <c r="AE639"/>
  <c r="AF639" s="1"/>
  <c r="AL639"/>
  <c r="AK639"/>
  <c r="Q639"/>
  <c r="R639" s="1"/>
  <c r="AZ639" s="1"/>
  <c r="O639"/>
  <c r="P639" s="1"/>
  <c r="AY639" s="1"/>
  <c r="AG638"/>
  <c r="AH638" s="1"/>
  <c r="AE638"/>
  <c r="AF638" s="1"/>
  <c r="AL638"/>
  <c r="AK638"/>
  <c r="Q638"/>
  <c r="R638" s="1"/>
  <c r="AZ638" s="1"/>
  <c r="O638"/>
  <c r="P638" s="1"/>
  <c r="AY638" s="1"/>
  <c r="AG637"/>
  <c r="AH637" s="1"/>
  <c r="AE637"/>
  <c r="AF637" s="1"/>
  <c r="AL637"/>
  <c r="AK637"/>
  <c r="Q637"/>
  <c r="R637" s="1"/>
  <c r="AZ637" s="1"/>
  <c r="O637"/>
  <c r="P637" s="1"/>
  <c r="AY637" s="1"/>
  <c r="AG636"/>
  <c r="AH636" s="1"/>
  <c r="AE636"/>
  <c r="AF636" s="1"/>
  <c r="AL636"/>
  <c r="AK636"/>
  <c r="Q636"/>
  <c r="R636" s="1"/>
  <c r="AZ636" s="1"/>
  <c r="O636"/>
  <c r="P636" s="1"/>
  <c r="AY636" s="1"/>
  <c r="AG635"/>
  <c r="AH635" s="1"/>
  <c r="AE635"/>
  <c r="AF635" s="1"/>
  <c r="AL635"/>
  <c r="AK635"/>
  <c r="Q635"/>
  <c r="R635" s="1"/>
  <c r="AZ635" s="1"/>
  <c r="O635"/>
  <c r="P635" s="1"/>
  <c r="AY635" s="1"/>
  <c r="AG634"/>
  <c r="AH634" s="1"/>
  <c r="AE634"/>
  <c r="AF634" s="1"/>
  <c r="AL634"/>
  <c r="AK634"/>
  <c r="Q634"/>
  <c r="R634" s="1"/>
  <c r="AZ634" s="1"/>
  <c r="O634"/>
  <c r="P634" s="1"/>
  <c r="AY634" s="1"/>
  <c r="AG633"/>
  <c r="AH633" s="1"/>
  <c r="AE633"/>
  <c r="AF633" s="1"/>
  <c r="AL633"/>
  <c r="AK633"/>
  <c r="Q633"/>
  <c r="R633" s="1"/>
  <c r="AZ633" s="1"/>
  <c r="O633"/>
  <c r="P633" s="1"/>
  <c r="AY633" s="1"/>
  <c r="AG632"/>
  <c r="AH632" s="1"/>
  <c r="AE632"/>
  <c r="AF632" s="1"/>
  <c r="AL632"/>
  <c r="AK632"/>
  <c r="Q632"/>
  <c r="R632" s="1"/>
  <c r="AZ632" s="1"/>
  <c r="O632"/>
  <c r="P632" s="1"/>
  <c r="AY632" s="1"/>
  <c r="AG631"/>
  <c r="AH631" s="1"/>
  <c r="AE631"/>
  <c r="AF631" s="1"/>
  <c r="AL631"/>
  <c r="AK631"/>
  <c r="Q631"/>
  <c r="R631" s="1"/>
  <c r="AZ631" s="1"/>
  <c r="O631"/>
  <c r="P631" s="1"/>
  <c r="AY631" s="1"/>
  <c r="AG630"/>
  <c r="AH630" s="1"/>
  <c r="AE630"/>
  <c r="AF630" s="1"/>
  <c r="AL630"/>
  <c r="AK630"/>
  <c r="Q630"/>
  <c r="R630" s="1"/>
  <c r="AZ630" s="1"/>
  <c r="O630"/>
  <c r="P630" s="1"/>
  <c r="AY630" s="1"/>
  <c r="AG629"/>
  <c r="AH629" s="1"/>
  <c r="AE629"/>
  <c r="AF629" s="1"/>
  <c r="AL629"/>
  <c r="AK629"/>
  <c r="Q629"/>
  <c r="R629" s="1"/>
  <c r="AZ629" s="1"/>
  <c r="O629"/>
  <c r="P629" s="1"/>
  <c r="AY629" s="1"/>
  <c r="AG628"/>
  <c r="AH628" s="1"/>
  <c r="AE628"/>
  <c r="AF628" s="1"/>
  <c r="AL628"/>
  <c r="AK628"/>
  <c r="Q628"/>
  <c r="R628" s="1"/>
  <c r="AZ628" s="1"/>
  <c r="O628"/>
  <c r="P628" s="1"/>
  <c r="AY628" s="1"/>
  <c r="AG627"/>
  <c r="AH627" s="1"/>
  <c r="AE627"/>
  <c r="AF627" s="1"/>
  <c r="AL627"/>
  <c r="AK627"/>
  <c r="Q627"/>
  <c r="R627" s="1"/>
  <c r="AZ627" s="1"/>
  <c r="O627"/>
  <c r="P627" s="1"/>
  <c r="AY627" s="1"/>
  <c r="AG626"/>
  <c r="AH626" s="1"/>
  <c r="AE626"/>
  <c r="AF626" s="1"/>
  <c r="AL626"/>
  <c r="AK626"/>
  <c r="Q626"/>
  <c r="R626" s="1"/>
  <c r="AZ626" s="1"/>
  <c r="O626"/>
  <c r="P626" s="1"/>
  <c r="AY626" s="1"/>
  <c r="AG625"/>
  <c r="AH625" s="1"/>
  <c r="AE625"/>
  <c r="AF625" s="1"/>
  <c r="AL625"/>
  <c r="AK625"/>
  <c r="Q625"/>
  <c r="R625" s="1"/>
  <c r="AZ625" s="1"/>
  <c r="O625"/>
  <c r="P625" s="1"/>
  <c r="AY625" s="1"/>
  <c r="AG624"/>
  <c r="AH624" s="1"/>
  <c r="AE624"/>
  <c r="AF624" s="1"/>
  <c r="AL624"/>
  <c r="AK624"/>
  <c r="Q624"/>
  <c r="R624" s="1"/>
  <c r="AZ624" s="1"/>
  <c r="O624"/>
  <c r="P624" s="1"/>
  <c r="AY624" s="1"/>
  <c r="AG623"/>
  <c r="AH623" s="1"/>
  <c r="AE623"/>
  <c r="AF623" s="1"/>
  <c r="AL623"/>
  <c r="AK623"/>
  <c r="Q623"/>
  <c r="R623" s="1"/>
  <c r="AZ623" s="1"/>
  <c r="O623"/>
  <c r="P623" s="1"/>
  <c r="AY623" s="1"/>
  <c r="AG622"/>
  <c r="AH622" s="1"/>
  <c r="AE622"/>
  <c r="AF622" s="1"/>
  <c r="AL622"/>
  <c r="AK622"/>
  <c r="Q622"/>
  <c r="O622"/>
  <c r="P622" s="1"/>
  <c r="AY622" s="1"/>
  <c r="AG621"/>
  <c r="AH621" s="1"/>
  <c r="AE621"/>
  <c r="AF621" s="1"/>
  <c r="AL621"/>
  <c r="AK621"/>
  <c r="Q621"/>
  <c r="O621"/>
  <c r="P621" s="1"/>
  <c r="AY621" s="1"/>
  <c r="AG620"/>
  <c r="AH620" s="1"/>
  <c r="AE620"/>
  <c r="AF620" s="1"/>
  <c r="AL620"/>
  <c r="AK620"/>
  <c r="Q620"/>
  <c r="O620"/>
  <c r="P620" s="1"/>
  <c r="AY620" s="1"/>
  <c r="AG619"/>
  <c r="AH619" s="1"/>
  <c r="AE619"/>
  <c r="AF619" s="1"/>
  <c r="AL619"/>
  <c r="AK619"/>
  <c r="Q619"/>
  <c r="O619"/>
  <c r="P619" s="1"/>
  <c r="AY619" s="1"/>
  <c r="AG618"/>
  <c r="AH618" s="1"/>
  <c r="AE618"/>
  <c r="AF618" s="1"/>
  <c r="AL618"/>
  <c r="AK618"/>
  <c r="Q618"/>
  <c r="O618"/>
  <c r="P618" s="1"/>
  <c r="AY618" s="1"/>
  <c r="AG617"/>
  <c r="AH617" s="1"/>
  <c r="AE617"/>
  <c r="AF617" s="1"/>
  <c r="AL617"/>
  <c r="AK617"/>
  <c r="Q617"/>
  <c r="O617"/>
  <c r="P617" s="1"/>
  <c r="AY617" s="1"/>
  <c r="AG616"/>
  <c r="AH616" s="1"/>
  <c r="AE616"/>
  <c r="AF616" s="1"/>
  <c r="AL616"/>
  <c r="AK616"/>
  <c r="Q616"/>
  <c r="O616"/>
  <c r="P616" s="1"/>
  <c r="AY616" s="1"/>
  <c r="AG615"/>
  <c r="AH615" s="1"/>
  <c r="AE615"/>
  <c r="AF615" s="1"/>
  <c r="AL615"/>
  <c r="AK615"/>
  <c r="Q615"/>
  <c r="O615"/>
  <c r="P615" s="1"/>
  <c r="AY615" s="1"/>
  <c r="AG614"/>
  <c r="AH614" s="1"/>
  <c r="AE614"/>
  <c r="AF614" s="1"/>
  <c r="AL614"/>
  <c r="AK614"/>
  <c r="Q614"/>
  <c r="O614"/>
  <c r="P614" s="1"/>
  <c r="AY614" s="1"/>
  <c r="AG613"/>
  <c r="AH613" s="1"/>
  <c r="AE613"/>
  <c r="AF613" s="1"/>
  <c r="AL613"/>
  <c r="AK613"/>
  <c r="Q613"/>
  <c r="O613"/>
  <c r="P613" s="1"/>
  <c r="AY613" s="1"/>
  <c r="AG612"/>
  <c r="AH612" s="1"/>
  <c r="AE612"/>
  <c r="AF612" s="1"/>
  <c r="AL612"/>
  <c r="AK612"/>
  <c r="Q612"/>
  <c r="O612"/>
  <c r="P612" s="1"/>
  <c r="AY612" s="1"/>
  <c r="AG611"/>
  <c r="AH611" s="1"/>
  <c r="AE611"/>
  <c r="AF611" s="1"/>
  <c r="AL611"/>
  <c r="AK611"/>
  <c r="Q611"/>
  <c r="O611"/>
  <c r="P611" s="1"/>
  <c r="AY611" s="1"/>
  <c r="AG610"/>
  <c r="AH610" s="1"/>
  <c r="AE610"/>
  <c r="AF610" s="1"/>
  <c r="AL610"/>
  <c r="AK610"/>
  <c r="Q610"/>
  <c r="O610"/>
  <c r="P610" s="1"/>
  <c r="AY610" s="1"/>
  <c r="AG609"/>
  <c r="AH609" s="1"/>
  <c r="AE609"/>
  <c r="AF609" s="1"/>
  <c r="AL609"/>
  <c r="AK609"/>
  <c r="Q609"/>
  <c r="O609"/>
  <c r="P609" s="1"/>
  <c r="AY609" s="1"/>
  <c r="AG608"/>
  <c r="AH608" s="1"/>
  <c r="AE608"/>
  <c r="AF608" s="1"/>
  <c r="AL608"/>
  <c r="AK608"/>
  <c r="Q608"/>
  <c r="O608"/>
  <c r="P608" s="1"/>
  <c r="AG607"/>
  <c r="AH607" s="1"/>
  <c r="AE607"/>
  <c r="AF607" s="1"/>
  <c r="AL607"/>
  <c r="AK607"/>
  <c r="Q607"/>
  <c r="O607"/>
  <c r="P607" s="1"/>
  <c r="AY607" s="1"/>
  <c r="AG606"/>
  <c r="AH606" s="1"/>
  <c r="AE606"/>
  <c r="AF606" s="1"/>
  <c r="AL606"/>
  <c r="AK606"/>
  <c r="Q606"/>
  <c r="O606"/>
  <c r="P606" s="1"/>
  <c r="AY606" s="1"/>
  <c r="AG605"/>
  <c r="AH605" s="1"/>
  <c r="AE605"/>
  <c r="AF605" s="1"/>
  <c r="AL605"/>
  <c r="AK605"/>
  <c r="Q605"/>
  <c r="O605"/>
  <c r="P605" s="1"/>
  <c r="AY605" s="1"/>
  <c r="AG604"/>
  <c r="AH604" s="1"/>
  <c r="AE604"/>
  <c r="AF604" s="1"/>
  <c r="AL604"/>
  <c r="AK604"/>
  <c r="Q604"/>
  <c r="R604" s="1"/>
  <c r="AZ604" s="1"/>
  <c r="O604"/>
  <c r="P604" s="1"/>
  <c r="AY604" s="1"/>
  <c r="AG603"/>
  <c r="AH603" s="1"/>
  <c r="AE603"/>
  <c r="AF603" s="1"/>
  <c r="AL603"/>
  <c r="AK603"/>
  <c r="Q603"/>
  <c r="R603" s="1"/>
  <c r="AZ603" s="1"/>
  <c r="O603"/>
  <c r="P603" s="1"/>
  <c r="AY603" s="1"/>
  <c r="AG602"/>
  <c r="AH602" s="1"/>
  <c r="AE602"/>
  <c r="AF602" s="1"/>
  <c r="AL602"/>
  <c r="AK602"/>
  <c r="Q602"/>
  <c r="R602" s="1"/>
  <c r="AZ602" s="1"/>
  <c r="O602"/>
  <c r="P602" s="1"/>
  <c r="AY602" s="1"/>
  <c r="AG601"/>
  <c r="AH601" s="1"/>
  <c r="AE601"/>
  <c r="AF601" s="1"/>
  <c r="AL601"/>
  <c r="AK601"/>
  <c r="Q601"/>
  <c r="R601" s="1"/>
  <c r="AZ601" s="1"/>
  <c r="O601"/>
  <c r="P601" s="1"/>
  <c r="AY601" s="1"/>
  <c r="AG600"/>
  <c r="AH600" s="1"/>
  <c r="AE600"/>
  <c r="AF600" s="1"/>
  <c r="AL600"/>
  <c r="AK600"/>
  <c r="Q600"/>
  <c r="R600" s="1"/>
  <c r="AZ600" s="1"/>
  <c r="O600"/>
  <c r="P600" s="1"/>
  <c r="AY600" s="1"/>
  <c r="AG599"/>
  <c r="AH599" s="1"/>
  <c r="AE599"/>
  <c r="AF599" s="1"/>
  <c r="AL599"/>
  <c r="AK599"/>
  <c r="Q599"/>
  <c r="R599" s="1"/>
  <c r="AZ599" s="1"/>
  <c r="O599"/>
  <c r="P599" s="1"/>
  <c r="AY599" s="1"/>
  <c r="AG598"/>
  <c r="AH598" s="1"/>
  <c r="AE598"/>
  <c r="AF598" s="1"/>
  <c r="AL598"/>
  <c r="AK598"/>
  <c r="Q598"/>
  <c r="R598" s="1"/>
  <c r="AZ598" s="1"/>
  <c r="O598"/>
  <c r="P598" s="1"/>
  <c r="AY598" s="1"/>
  <c r="AG597"/>
  <c r="AH597" s="1"/>
  <c r="AE597"/>
  <c r="AF597" s="1"/>
  <c r="AL597"/>
  <c r="AK597"/>
  <c r="Q597"/>
  <c r="R597" s="1"/>
  <c r="AZ597" s="1"/>
  <c r="O597"/>
  <c r="P597" s="1"/>
  <c r="AY597" s="1"/>
  <c r="AG596"/>
  <c r="AH596" s="1"/>
  <c r="AE596"/>
  <c r="AF596" s="1"/>
  <c r="AL596"/>
  <c r="AK596"/>
  <c r="Q596"/>
  <c r="R596" s="1"/>
  <c r="AZ596" s="1"/>
  <c r="O596"/>
  <c r="P596" s="1"/>
  <c r="AY596" s="1"/>
  <c r="AG595"/>
  <c r="AH595" s="1"/>
  <c r="AE595"/>
  <c r="AF595" s="1"/>
  <c r="AL595"/>
  <c r="AK595"/>
  <c r="Q595"/>
  <c r="R595" s="1"/>
  <c r="AZ595" s="1"/>
  <c r="O595"/>
  <c r="P595" s="1"/>
  <c r="AY595" s="1"/>
  <c r="AG594"/>
  <c r="AH594" s="1"/>
  <c r="AE594"/>
  <c r="AF594" s="1"/>
  <c r="AL594"/>
  <c r="AK594"/>
  <c r="Q594"/>
  <c r="R594" s="1"/>
  <c r="AZ594" s="1"/>
  <c r="O594"/>
  <c r="P594" s="1"/>
  <c r="AY594" s="1"/>
  <c r="AG593"/>
  <c r="AH593" s="1"/>
  <c r="AE593"/>
  <c r="AF593" s="1"/>
  <c r="AL593"/>
  <c r="AK593"/>
  <c r="Q593"/>
  <c r="R593" s="1"/>
  <c r="AZ593" s="1"/>
  <c r="O593"/>
  <c r="P593" s="1"/>
  <c r="AY593" s="1"/>
  <c r="AG592"/>
  <c r="AH592" s="1"/>
  <c r="AE592"/>
  <c r="AF592" s="1"/>
  <c r="AL592"/>
  <c r="AK592"/>
  <c r="Q592"/>
  <c r="R592" s="1"/>
  <c r="AZ592" s="1"/>
  <c r="O592"/>
  <c r="P592" s="1"/>
  <c r="AY592" s="1"/>
  <c r="AG591"/>
  <c r="AH591" s="1"/>
  <c r="AE591"/>
  <c r="AF591" s="1"/>
  <c r="AL591"/>
  <c r="AK591"/>
  <c r="Q591"/>
  <c r="R591" s="1"/>
  <c r="AZ591" s="1"/>
  <c r="O591"/>
  <c r="P591" s="1"/>
  <c r="AY591" s="1"/>
  <c r="AG590"/>
  <c r="AH590" s="1"/>
  <c r="AE590"/>
  <c r="AF590" s="1"/>
  <c r="AL590"/>
  <c r="AK590"/>
  <c r="Q590"/>
  <c r="R590" s="1"/>
  <c r="AZ590" s="1"/>
  <c r="O590"/>
  <c r="P590" s="1"/>
  <c r="AY590" s="1"/>
  <c r="AG589"/>
  <c r="AH589" s="1"/>
  <c r="AE589"/>
  <c r="AF589" s="1"/>
  <c r="AL589"/>
  <c r="AK589"/>
  <c r="Q589"/>
  <c r="R589" s="1"/>
  <c r="AZ589" s="1"/>
  <c r="O589"/>
  <c r="P589" s="1"/>
  <c r="AY589" s="1"/>
  <c r="AW588"/>
  <c r="AX588" s="1"/>
  <c r="AU588"/>
  <c r="AV588" s="1"/>
  <c r="AG588"/>
  <c r="AH588" s="1"/>
  <c r="AE588"/>
  <c r="AF588" s="1"/>
  <c r="AL588"/>
  <c r="AK588"/>
  <c r="Q588"/>
  <c r="R588" s="1"/>
  <c r="AZ588" s="1"/>
  <c r="O588"/>
  <c r="P588" s="1"/>
  <c r="AY588" s="1"/>
  <c r="AW587"/>
  <c r="AX587" s="1"/>
  <c r="AU587"/>
  <c r="AV587" s="1"/>
  <c r="AG587"/>
  <c r="AH587" s="1"/>
  <c r="AE587"/>
  <c r="AF587" s="1"/>
  <c r="AL587"/>
  <c r="AK587"/>
  <c r="Q587"/>
  <c r="R587" s="1"/>
  <c r="AZ587" s="1"/>
  <c r="O587"/>
  <c r="P587" s="1"/>
  <c r="AY587" s="1"/>
  <c r="AW586"/>
  <c r="AX586" s="1"/>
  <c r="AU586"/>
  <c r="AV586" s="1"/>
  <c r="AG586"/>
  <c r="AH586" s="1"/>
  <c r="AE586"/>
  <c r="AF586" s="1"/>
  <c r="AL586"/>
  <c r="AK586"/>
  <c r="Q586"/>
  <c r="R586" s="1"/>
  <c r="AZ586" s="1"/>
  <c r="O586"/>
  <c r="P586" s="1"/>
  <c r="AY586" s="1"/>
  <c r="AW585"/>
  <c r="AX585" s="1"/>
  <c r="AU585"/>
  <c r="AV585" s="1"/>
  <c r="AG585"/>
  <c r="AH585" s="1"/>
  <c r="AE585"/>
  <c r="AF585" s="1"/>
  <c r="AL585"/>
  <c r="AK585"/>
  <c r="Q585"/>
  <c r="R585" s="1"/>
  <c r="AZ585" s="1"/>
  <c r="O585"/>
  <c r="P585" s="1"/>
  <c r="AY585" s="1"/>
  <c r="AW584"/>
  <c r="AX584" s="1"/>
  <c r="AU584"/>
  <c r="AV584" s="1"/>
  <c r="AG584"/>
  <c r="AH584" s="1"/>
  <c r="AE584"/>
  <c r="AF584" s="1"/>
  <c r="AL584"/>
  <c r="AK584"/>
  <c r="Q584"/>
  <c r="R584" s="1"/>
  <c r="O584"/>
  <c r="P584" s="1"/>
  <c r="V584"/>
  <c r="U584"/>
  <c r="AW583"/>
  <c r="AX583" s="1"/>
  <c r="AU583"/>
  <c r="AV583" s="1"/>
  <c r="AG583"/>
  <c r="AH583" s="1"/>
  <c r="AE583"/>
  <c r="AF583" s="1"/>
  <c r="AL583"/>
  <c r="AK583"/>
  <c r="Q583"/>
  <c r="R583" s="1"/>
  <c r="AZ583" s="1"/>
  <c r="O583"/>
  <c r="P583" s="1"/>
  <c r="AY583" s="1"/>
  <c r="AW582"/>
  <c r="AX582" s="1"/>
  <c r="AU582"/>
  <c r="AV582" s="1"/>
  <c r="AG582"/>
  <c r="AH582" s="1"/>
  <c r="AE582"/>
  <c r="AF582" s="1"/>
  <c r="AL582"/>
  <c r="AK582"/>
  <c r="Q582"/>
  <c r="R582" s="1"/>
  <c r="AZ582" s="1"/>
  <c r="O582"/>
  <c r="P582" s="1"/>
  <c r="AY582" s="1"/>
  <c r="AW581"/>
  <c r="AX581" s="1"/>
  <c r="AU581"/>
  <c r="AV581" s="1"/>
  <c r="AG581"/>
  <c r="AH581" s="1"/>
  <c r="AE581"/>
  <c r="AF581" s="1"/>
  <c r="AL581"/>
  <c r="AK581"/>
  <c r="Q581"/>
  <c r="R581" s="1"/>
  <c r="AZ581" s="1"/>
  <c r="O581"/>
  <c r="P581" s="1"/>
  <c r="AY581" s="1"/>
  <c r="AW580"/>
  <c r="AX580" s="1"/>
  <c r="AU580"/>
  <c r="AV580" s="1"/>
  <c r="AG580"/>
  <c r="AH580" s="1"/>
  <c r="AE580"/>
  <c r="AF580" s="1"/>
  <c r="AL580"/>
  <c r="AK580"/>
  <c r="Q580"/>
  <c r="R580" s="1"/>
  <c r="AZ580" s="1"/>
  <c r="O580"/>
  <c r="P580" s="1"/>
  <c r="AY580" s="1"/>
  <c r="AW579"/>
  <c r="AX579" s="1"/>
  <c r="AU579"/>
  <c r="AV579" s="1"/>
  <c r="AG579"/>
  <c r="AH579" s="1"/>
  <c r="AE579"/>
  <c r="AF579" s="1"/>
  <c r="AL579"/>
  <c r="AK579"/>
  <c r="Q579"/>
  <c r="R579" s="1"/>
  <c r="AZ579" s="1"/>
  <c r="O579"/>
  <c r="P579" s="1"/>
  <c r="AY579" s="1"/>
  <c r="AW578"/>
  <c r="AX578" s="1"/>
  <c r="AU578"/>
  <c r="AV578" s="1"/>
  <c r="AG578"/>
  <c r="AH578" s="1"/>
  <c r="AE578"/>
  <c r="AF578" s="1"/>
  <c r="AL578"/>
  <c r="AK578"/>
  <c r="Q578"/>
  <c r="R578" s="1"/>
  <c r="AZ578" s="1"/>
  <c r="O578"/>
  <c r="P578" s="1"/>
  <c r="AY578" s="1"/>
  <c r="AW577"/>
  <c r="AX577" s="1"/>
  <c r="AU577"/>
  <c r="AV577" s="1"/>
  <c r="AG577"/>
  <c r="AH577" s="1"/>
  <c r="AE577"/>
  <c r="AF577" s="1"/>
  <c r="AL577"/>
  <c r="AK577"/>
  <c r="Q577"/>
  <c r="R577" s="1"/>
  <c r="AZ577" s="1"/>
  <c r="O577"/>
  <c r="P577" s="1"/>
  <c r="AY577" s="1"/>
  <c r="AW576"/>
  <c r="AX576" s="1"/>
  <c r="AU576"/>
  <c r="AV576" s="1"/>
  <c r="AG576"/>
  <c r="AH576" s="1"/>
  <c r="AE576"/>
  <c r="AF576" s="1"/>
  <c r="AL576"/>
  <c r="AK576"/>
  <c r="Q576"/>
  <c r="R576" s="1"/>
  <c r="AZ576" s="1"/>
  <c r="O576"/>
  <c r="P576" s="1"/>
  <c r="AY576" s="1"/>
  <c r="AW575"/>
  <c r="AX575" s="1"/>
  <c r="AU575"/>
  <c r="AV575" s="1"/>
  <c r="AG575"/>
  <c r="AH575" s="1"/>
  <c r="AE575"/>
  <c r="AF575" s="1"/>
  <c r="AL575"/>
  <c r="AK575"/>
  <c r="Q575"/>
  <c r="R575" s="1"/>
  <c r="AZ575" s="1"/>
  <c r="O575"/>
  <c r="P575" s="1"/>
  <c r="AY575" s="1"/>
  <c r="AW574"/>
  <c r="AX574" s="1"/>
  <c r="AU574"/>
  <c r="AV574" s="1"/>
  <c r="AG574"/>
  <c r="AH574" s="1"/>
  <c r="AE574"/>
  <c r="AF574" s="1"/>
  <c r="AL574"/>
  <c r="AK574"/>
  <c r="Q574"/>
  <c r="R574" s="1"/>
  <c r="AZ574" s="1"/>
  <c r="O574"/>
  <c r="P574" s="1"/>
  <c r="AY574" s="1"/>
  <c r="AW573"/>
  <c r="AX573" s="1"/>
  <c r="AU573"/>
  <c r="AV573" s="1"/>
  <c r="AG573"/>
  <c r="AH573" s="1"/>
  <c r="AE573"/>
  <c r="AF573" s="1"/>
  <c r="AL573"/>
  <c r="AK573"/>
  <c r="Q573"/>
  <c r="R573" s="1"/>
  <c r="AZ573" s="1"/>
  <c r="O573"/>
  <c r="P573" s="1"/>
  <c r="AY573" s="1"/>
  <c r="AW572"/>
  <c r="AX572" s="1"/>
  <c r="AU572"/>
  <c r="AV572" s="1"/>
  <c r="AG572"/>
  <c r="AH572" s="1"/>
  <c r="AE572"/>
  <c r="AF572" s="1"/>
  <c r="AL572"/>
  <c r="AK572"/>
  <c r="Q572"/>
  <c r="R572" s="1"/>
  <c r="AZ572" s="1"/>
  <c r="O572"/>
  <c r="P572" s="1"/>
  <c r="AY572" s="1"/>
  <c r="AW571"/>
  <c r="AX571" s="1"/>
  <c r="AU571"/>
  <c r="AV571" s="1"/>
  <c r="AG571"/>
  <c r="AH571" s="1"/>
  <c r="AE571"/>
  <c r="AF571" s="1"/>
  <c r="AL571"/>
  <c r="AK571"/>
  <c r="Q571"/>
  <c r="R571" s="1"/>
  <c r="AZ571" s="1"/>
  <c r="O571"/>
  <c r="P571" s="1"/>
  <c r="AY571" s="1"/>
  <c r="AW570"/>
  <c r="AX570" s="1"/>
  <c r="AU570"/>
  <c r="AV570" s="1"/>
  <c r="AG570"/>
  <c r="AH570" s="1"/>
  <c r="AE570"/>
  <c r="AF570" s="1"/>
  <c r="AL570"/>
  <c r="AK570"/>
  <c r="Q570"/>
  <c r="R570" s="1"/>
  <c r="AZ570" s="1"/>
  <c r="O570"/>
  <c r="P570" s="1"/>
  <c r="AY570" s="1"/>
  <c r="AW569"/>
  <c r="AX569" s="1"/>
  <c r="AU569"/>
  <c r="AV569" s="1"/>
  <c r="AG569"/>
  <c r="AH569" s="1"/>
  <c r="AE569"/>
  <c r="AF569" s="1"/>
  <c r="AL569"/>
  <c r="AK569"/>
  <c r="Q569"/>
  <c r="R569" s="1"/>
  <c r="AZ569" s="1"/>
  <c r="O569"/>
  <c r="P569" s="1"/>
  <c r="AY569" s="1"/>
  <c r="AW568"/>
  <c r="AX568" s="1"/>
  <c r="AU568"/>
  <c r="AV568" s="1"/>
  <c r="AG568"/>
  <c r="AH568" s="1"/>
  <c r="AE568"/>
  <c r="AF568" s="1"/>
  <c r="AL568"/>
  <c r="AK568"/>
  <c r="Q568"/>
  <c r="R568" s="1"/>
  <c r="AZ568" s="1"/>
  <c r="O568"/>
  <c r="P568" s="1"/>
  <c r="AY568" s="1"/>
  <c r="AW567"/>
  <c r="AX567" s="1"/>
  <c r="AU567"/>
  <c r="AV567" s="1"/>
  <c r="AG567"/>
  <c r="AH567" s="1"/>
  <c r="AE567"/>
  <c r="AF567" s="1"/>
  <c r="AL567"/>
  <c r="AK567"/>
  <c r="Q567"/>
  <c r="R567" s="1"/>
  <c r="AZ567" s="1"/>
  <c r="O567"/>
  <c r="P567" s="1"/>
  <c r="AY567" s="1"/>
  <c r="AW566"/>
  <c r="AX566" s="1"/>
  <c r="AU566"/>
  <c r="AV566" s="1"/>
  <c r="AG566"/>
  <c r="AH566" s="1"/>
  <c r="AE566"/>
  <c r="AF566" s="1"/>
  <c r="AL566"/>
  <c r="AK566"/>
  <c r="Q566"/>
  <c r="R566" s="1"/>
  <c r="AZ566" s="1"/>
  <c r="O566"/>
  <c r="P566" s="1"/>
  <c r="AY566" s="1"/>
  <c r="AW565"/>
  <c r="AX565" s="1"/>
  <c r="AU565"/>
  <c r="AV565" s="1"/>
  <c r="AG565"/>
  <c r="AH565" s="1"/>
  <c r="AE565"/>
  <c r="AF565" s="1"/>
  <c r="AL565"/>
  <c r="AK565"/>
  <c r="Q565"/>
  <c r="R565" s="1"/>
  <c r="AZ565" s="1"/>
  <c r="O565"/>
  <c r="P565" s="1"/>
  <c r="AY565" s="1"/>
  <c r="AW564"/>
  <c r="AX564" s="1"/>
  <c r="AU564"/>
  <c r="AV564" s="1"/>
  <c r="AG564"/>
  <c r="AH564" s="1"/>
  <c r="AE564"/>
  <c r="AF564" s="1"/>
  <c r="AL564"/>
  <c r="AK564"/>
  <c r="Q564"/>
  <c r="R564" s="1"/>
  <c r="AZ564" s="1"/>
  <c r="O564"/>
  <c r="P564" s="1"/>
  <c r="AY564" s="1"/>
  <c r="AW563"/>
  <c r="AX563" s="1"/>
  <c r="AU563"/>
  <c r="AV563" s="1"/>
  <c r="AG563"/>
  <c r="AH563" s="1"/>
  <c r="AE563"/>
  <c r="AF563" s="1"/>
  <c r="AL563"/>
  <c r="AK563"/>
  <c r="Q563"/>
  <c r="R563" s="1"/>
  <c r="AZ563" s="1"/>
  <c r="O563"/>
  <c r="P563" s="1"/>
  <c r="AY563" s="1"/>
  <c r="AW562"/>
  <c r="AX562" s="1"/>
  <c r="AU562"/>
  <c r="AV562" s="1"/>
  <c r="AG562"/>
  <c r="AH562" s="1"/>
  <c r="AE562"/>
  <c r="AF562" s="1"/>
  <c r="AL562"/>
  <c r="AK562"/>
  <c r="Q562"/>
  <c r="R562" s="1"/>
  <c r="AZ562" s="1"/>
  <c r="O562"/>
  <c r="P562" s="1"/>
  <c r="AY562" s="1"/>
  <c r="AW561"/>
  <c r="AX561" s="1"/>
  <c r="AU561"/>
  <c r="AV561" s="1"/>
  <c r="AG561"/>
  <c r="AH561" s="1"/>
  <c r="AE561"/>
  <c r="AF561" s="1"/>
  <c r="AL561"/>
  <c r="AK561"/>
  <c r="Q561"/>
  <c r="R561" s="1"/>
  <c r="AZ561" s="1"/>
  <c r="O561"/>
  <c r="P561" s="1"/>
  <c r="AY561" s="1"/>
  <c r="AW560"/>
  <c r="AX560" s="1"/>
  <c r="AU560"/>
  <c r="AV560" s="1"/>
  <c r="AG560"/>
  <c r="AH560" s="1"/>
  <c r="AE560"/>
  <c r="AF560" s="1"/>
  <c r="AL560"/>
  <c r="AK560"/>
  <c r="Q560"/>
  <c r="R560" s="1"/>
  <c r="AZ560" s="1"/>
  <c r="O560"/>
  <c r="P560" s="1"/>
  <c r="AY560" s="1"/>
  <c r="AW559"/>
  <c r="AX559" s="1"/>
  <c r="AU559"/>
  <c r="AV559" s="1"/>
  <c r="AG559"/>
  <c r="AH559" s="1"/>
  <c r="AE559"/>
  <c r="AF559" s="1"/>
  <c r="AL559"/>
  <c r="AK559"/>
  <c r="Q559"/>
  <c r="R559" s="1"/>
  <c r="AZ559" s="1"/>
  <c r="O559"/>
  <c r="P559" s="1"/>
  <c r="AY559" s="1"/>
  <c r="AW558"/>
  <c r="AX558" s="1"/>
  <c r="AU558"/>
  <c r="AV558" s="1"/>
  <c r="AG558"/>
  <c r="AH558" s="1"/>
  <c r="AE558"/>
  <c r="AF558" s="1"/>
  <c r="AL558"/>
  <c r="AK558"/>
  <c r="Q558"/>
  <c r="R558" s="1"/>
  <c r="AZ558" s="1"/>
  <c r="O558"/>
  <c r="P558" s="1"/>
  <c r="AY558" s="1"/>
  <c r="AW557"/>
  <c r="AX557" s="1"/>
  <c r="AU557"/>
  <c r="AV557" s="1"/>
  <c r="AG557"/>
  <c r="AH557" s="1"/>
  <c r="AE557"/>
  <c r="AF557" s="1"/>
  <c r="AL557"/>
  <c r="AK557"/>
  <c r="Q557"/>
  <c r="R557" s="1"/>
  <c r="AZ557" s="1"/>
  <c r="O557"/>
  <c r="P557" s="1"/>
  <c r="AY557" s="1"/>
  <c r="AW556"/>
  <c r="AX556" s="1"/>
  <c r="AU556"/>
  <c r="AV556" s="1"/>
  <c r="AG556"/>
  <c r="AH556" s="1"/>
  <c r="AE556"/>
  <c r="AF556" s="1"/>
  <c r="AL556"/>
  <c r="AK556"/>
  <c r="Q556"/>
  <c r="R556" s="1"/>
  <c r="AZ556" s="1"/>
  <c r="O556"/>
  <c r="P556" s="1"/>
  <c r="AY556" s="1"/>
  <c r="AW555"/>
  <c r="AX555" s="1"/>
  <c r="AU555"/>
  <c r="AV555" s="1"/>
  <c r="AG555"/>
  <c r="AH555" s="1"/>
  <c r="AE555"/>
  <c r="AF555" s="1"/>
  <c r="AL555"/>
  <c r="AK555"/>
  <c r="Q555"/>
  <c r="R555" s="1"/>
  <c r="AZ555" s="1"/>
  <c r="O555"/>
  <c r="P555" s="1"/>
  <c r="AY555" s="1"/>
  <c r="AW554"/>
  <c r="AX554" s="1"/>
  <c r="AU554"/>
  <c r="AV554" s="1"/>
  <c r="AG554"/>
  <c r="AH554" s="1"/>
  <c r="AE554"/>
  <c r="AF554" s="1"/>
  <c r="AL554"/>
  <c r="AK554"/>
  <c r="Q554"/>
  <c r="R554" s="1"/>
  <c r="AZ554" s="1"/>
  <c r="O554"/>
  <c r="P554" s="1"/>
  <c r="AY554" s="1"/>
  <c r="AW553"/>
  <c r="AX553" s="1"/>
  <c r="AU553"/>
  <c r="AV553" s="1"/>
  <c r="AG553"/>
  <c r="AH553" s="1"/>
  <c r="AE553"/>
  <c r="AF553" s="1"/>
  <c r="AL553"/>
  <c r="AK553"/>
  <c r="Q553"/>
  <c r="R553" s="1"/>
  <c r="AZ553" s="1"/>
  <c r="O553"/>
  <c r="P553" s="1"/>
  <c r="AY553" s="1"/>
  <c r="V553"/>
  <c r="U553"/>
  <c r="AW552"/>
  <c r="AX552" s="1"/>
  <c r="AU552"/>
  <c r="AV552" s="1"/>
  <c r="AG552"/>
  <c r="AH552" s="1"/>
  <c r="AE552"/>
  <c r="AF552" s="1"/>
  <c r="AL552"/>
  <c r="AK552"/>
  <c r="Q552"/>
  <c r="R552" s="1"/>
  <c r="AZ552" s="1"/>
  <c r="O552"/>
  <c r="P552" s="1"/>
  <c r="AY552" s="1"/>
  <c r="V552"/>
  <c r="U552"/>
  <c r="AW551"/>
  <c r="AX551" s="1"/>
  <c r="AU551"/>
  <c r="AV551" s="1"/>
  <c r="AG551"/>
  <c r="AH551" s="1"/>
  <c r="AE551"/>
  <c r="AF551" s="1"/>
  <c r="AL551"/>
  <c r="AK551"/>
  <c r="Q551"/>
  <c r="R551" s="1"/>
  <c r="AZ551" s="1"/>
  <c r="O551"/>
  <c r="P551" s="1"/>
  <c r="AY551" s="1"/>
  <c r="V551"/>
  <c r="U551"/>
  <c r="AW550"/>
  <c r="AX550" s="1"/>
  <c r="AU550"/>
  <c r="AV550" s="1"/>
  <c r="AG550"/>
  <c r="AH550" s="1"/>
  <c r="AE550"/>
  <c r="AF550" s="1"/>
  <c r="AL550"/>
  <c r="AK550"/>
  <c r="Q550"/>
  <c r="R550" s="1"/>
  <c r="AZ550" s="1"/>
  <c r="O550"/>
  <c r="P550" s="1"/>
  <c r="AY550" s="1"/>
  <c r="V550"/>
  <c r="U550"/>
  <c r="AW549"/>
  <c r="AX549" s="1"/>
  <c r="AU549"/>
  <c r="AV549" s="1"/>
  <c r="AG549"/>
  <c r="AH549" s="1"/>
  <c r="AE549"/>
  <c r="AF549" s="1"/>
  <c r="AL549"/>
  <c r="AK549"/>
  <c r="Q549"/>
  <c r="R549" s="1"/>
  <c r="AZ549" s="1"/>
  <c r="O549"/>
  <c r="P549" s="1"/>
  <c r="AY549" s="1"/>
  <c r="V549"/>
  <c r="U549"/>
  <c r="AW548"/>
  <c r="AX548" s="1"/>
  <c r="AU548"/>
  <c r="AV548" s="1"/>
  <c r="AG548"/>
  <c r="AH548" s="1"/>
  <c r="AE548"/>
  <c r="AF548" s="1"/>
  <c r="AL548"/>
  <c r="AK548"/>
  <c r="Q548"/>
  <c r="R548" s="1"/>
  <c r="AZ548" s="1"/>
  <c r="O548"/>
  <c r="P548" s="1"/>
  <c r="AY548" s="1"/>
  <c r="V548"/>
  <c r="U548"/>
  <c r="AW547"/>
  <c r="AX547" s="1"/>
  <c r="AU547"/>
  <c r="AV547" s="1"/>
  <c r="AG547"/>
  <c r="AH547" s="1"/>
  <c r="AE547"/>
  <c r="AF547" s="1"/>
  <c r="AL547"/>
  <c r="AK547"/>
  <c r="Q547"/>
  <c r="R547" s="1"/>
  <c r="AZ547" s="1"/>
  <c r="O547"/>
  <c r="P547" s="1"/>
  <c r="AY547" s="1"/>
  <c r="V547"/>
  <c r="U547"/>
  <c r="AW546"/>
  <c r="AX546" s="1"/>
  <c r="AU546"/>
  <c r="AV546" s="1"/>
  <c r="AG546"/>
  <c r="AH546" s="1"/>
  <c r="AE546"/>
  <c r="AF546" s="1"/>
  <c r="AL546"/>
  <c r="AK546"/>
  <c r="Q546"/>
  <c r="R546" s="1"/>
  <c r="AZ546" s="1"/>
  <c r="O546"/>
  <c r="P546" s="1"/>
  <c r="AY546" s="1"/>
  <c r="V546"/>
  <c r="U546"/>
  <c r="AW545"/>
  <c r="AX545" s="1"/>
  <c r="AU545"/>
  <c r="AV545" s="1"/>
  <c r="AG545"/>
  <c r="AH545" s="1"/>
  <c r="AE545"/>
  <c r="AF545" s="1"/>
  <c r="AL545"/>
  <c r="AK545"/>
  <c r="Q545"/>
  <c r="R545" s="1"/>
  <c r="AZ545" s="1"/>
  <c r="O545"/>
  <c r="P545" s="1"/>
  <c r="AY545" s="1"/>
  <c r="V545"/>
  <c r="U545"/>
  <c r="AW544"/>
  <c r="AX544" s="1"/>
  <c r="AU544"/>
  <c r="AV544" s="1"/>
  <c r="AG544"/>
  <c r="AH544" s="1"/>
  <c r="AE544"/>
  <c r="AF544" s="1"/>
  <c r="AL544"/>
  <c r="AK544"/>
  <c r="Q544"/>
  <c r="R544" s="1"/>
  <c r="AZ544" s="1"/>
  <c r="O544"/>
  <c r="P544" s="1"/>
  <c r="AY544" s="1"/>
  <c r="V544"/>
  <c r="U544"/>
  <c r="AW543"/>
  <c r="AX543" s="1"/>
  <c r="AU543"/>
  <c r="AV543" s="1"/>
  <c r="AG543"/>
  <c r="AH543" s="1"/>
  <c r="AE543"/>
  <c r="AF543" s="1"/>
  <c r="AL543"/>
  <c r="AK543"/>
  <c r="Q543"/>
  <c r="R543" s="1"/>
  <c r="AZ543" s="1"/>
  <c r="O543"/>
  <c r="P543" s="1"/>
  <c r="AY543" s="1"/>
  <c r="V543"/>
  <c r="U543"/>
  <c r="AW542"/>
  <c r="AX542" s="1"/>
  <c r="AU542"/>
  <c r="AV542" s="1"/>
  <c r="AG542"/>
  <c r="AH542" s="1"/>
  <c r="AE542"/>
  <c r="AF542" s="1"/>
  <c r="AL542"/>
  <c r="AK542"/>
  <c r="Q542"/>
  <c r="R542" s="1"/>
  <c r="AZ542" s="1"/>
  <c r="O542"/>
  <c r="P542" s="1"/>
  <c r="AY542" s="1"/>
  <c r="V542"/>
  <c r="U542"/>
  <c r="AW541"/>
  <c r="AX541" s="1"/>
  <c r="AU541"/>
  <c r="AV541" s="1"/>
  <c r="AG541"/>
  <c r="AH541" s="1"/>
  <c r="AE541"/>
  <c r="AF541" s="1"/>
  <c r="AL541"/>
  <c r="AK541"/>
  <c r="Q541"/>
  <c r="R541" s="1"/>
  <c r="AZ541" s="1"/>
  <c r="O541"/>
  <c r="P541" s="1"/>
  <c r="AY541" s="1"/>
  <c r="V541"/>
  <c r="U541"/>
  <c r="AW540"/>
  <c r="AX540" s="1"/>
  <c r="AU540"/>
  <c r="AV540" s="1"/>
  <c r="AG540"/>
  <c r="AH540" s="1"/>
  <c r="AE540"/>
  <c r="AF540" s="1"/>
  <c r="AL540"/>
  <c r="AK540"/>
  <c r="Q540"/>
  <c r="R540" s="1"/>
  <c r="AZ540" s="1"/>
  <c r="O540"/>
  <c r="P540" s="1"/>
  <c r="AY540" s="1"/>
  <c r="V540"/>
  <c r="U540"/>
  <c r="AW539"/>
  <c r="AX539" s="1"/>
  <c r="AU539"/>
  <c r="AV539" s="1"/>
  <c r="AG539"/>
  <c r="AH539" s="1"/>
  <c r="AE539"/>
  <c r="AF539" s="1"/>
  <c r="AL539"/>
  <c r="AK539"/>
  <c r="Q539"/>
  <c r="R539" s="1"/>
  <c r="AZ539" s="1"/>
  <c r="O539"/>
  <c r="P539" s="1"/>
  <c r="AY539" s="1"/>
  <c r="V539"/>
  <c r="U539"/>
  <c r="AW538"/>
  <c r="AX538" s="1"/>
  <c r="AU538"/>
  <c r="AV538" s="1"/>
  <c r="AG538"/>
  <c r="AH538" s="1"/>
  <c r="AE538"/>
  <c r="AF538" s="1"/>
  <c r="AL538"/>
  <c r="AK538"/>
  <c r="Q538"/>
  <c r="R538" s="1"/>
  <c r="AZ538" s="1"/>
  <c r="O538"/>
  <c r="P538" s="1"/>
  <c r="AY538" s="1"/>
  <c r="V538"/>
  <c r="U538"/>
  <c r="AW537"/>
  <c r="AX537" s="1"/>
  <c r="AU537"/>
  <c r="AV537" s="1"/>
  <c r="AG537"/>
  <c r="AH537" s="1"/>
  <c r="AE537"/>
  <c r="AF537" s="1"/>
  <c r="AL537"/>
  <c r="AK537"/>
  <c r="Q537"/>
  <c r="R537" s="1"/>
  <c r="AZ537" s="1"/>
  <c r="O537"/>
  <c r="P537" s="1"/>
  <c r="AY537" s="1"/>
  <c r="V537"/>
  <c r="U537"/>
  <c r="AW536"/>
  <c r="AX536" s="1"/>
  <c r="AU536"/>
  <c r="AV536" s="1"/>
  <c r="AG536"/>
  <c r="AH536" s="1"/>
  <c r="AE536"/>
  <c r="AF536" s="1"/>
  <c r="AL536"/>
  <c r="AK536"/>
  <c r="Q536"/>
  <c r="R536" s="1"/>
  <c r="AZ536" s="1"/>
  <c r="O536"/>
  <c r="P536" s="1"/>
  <c r="AY536" s="1"/>
  <c r="V536"/>
  <c r="U536"/>
  <c r="AW535"/>
  <c r="AX535" s="1"/>
  <c r="AU535"/>
  <c r="AV535" s="1"/>
  <c r="AG535"/>
  <c r="AH535" s="1"/>
  <c r="AE535"/>
  <c r="AF535" s="1"/>
  <c r="AL535"/>
  <c r="AK535"/>
  <c r="Q535"/>
  <c r="R535" s="1"/>
  <c r="AZ535" s="1"/>
  <c r="O535"/>
  <c r="P535" s="1"/>
  <c r="AY535" s="1"/>
  <c r="V535"/>
  <c r="U535"/>
  <c r="AW534"/>
  <c r="AX534" s="1"/>
  <c r="AU534"/>
  <c r="AV534" s="1"/>
  <c r="AG534"/>
  <c r="AH534" s="1"/>
  <c r="AE534"/>
  <c r="AF534" s="1"/>
  <c r="AL534"/>
  <c r="AK534"/>
  <c r="Q534"/>
  <c r="R534" s="1"/>
  <c r="AZ534" s="1"/>
  <c r="O534"/>
  <c r="P534" s="1"/>
  <c r="AY534" s="1"/>
  <c r="V534"/>
  <c r="U534"/>
  <c r="AW533"/>
  <c r="AX533" s="1"/>
  <c r="AU533"/>
  <c r="AV533" s="1"/>
  <c r="AG533"/>
  <c r="AH533" s="1"/>
  <c r="AE533"/>
  <c r="AF533" s="1"/>
  <c r="AL533"/>
  <c r="AK533"/>
  <c r="Q533"/>
  <c r="R533" s="1"/>
  <c r="AZ533" s="1"/>
  <c r="O533"/>
  <c r="P533" s="1"/>
  <c r="AY533" s="1"/>
  <c r="V533"/>
  <c r="U533"/>
  <c r="AW532"/>
  <c r="AX532" s="1"/>
  <c r="AU532"/>
  <c r="AV532" s="1"/>
  <c r="AG532"/>
  <c r="AH532" s="1"/>
  <c r="AE532"/>
  <c r="AF532" s="1"/>
  <c r="AL532"/>
  <c r="AK532"/>
  <c r="Q532"/>
  <c r="R532" s="1"/>
  <c r="AZ532" s="1"/>
  <c r="O532"/>
  <c r="P532" s="1"/>
  <c r="AY532" s="1"/>
  <c r="V532"/>
  <c r="U532"/>
  <c r="AW531"/>
  <c r="AX531" s="1"/>
  <c r="AU531"/>
  <c r="AV531" s="1"/>
  <c r="AG531"/>
  <c r="AH531" s="1"/>
  <c r="AE531"/>
  <c r="AF531" s="1"/>
  <c r="AL531"/>
  <c r="AK531"/>
  <c r="Q531"/>
  <c r="R531" s="1"/>
  <c r="AZ531" s="1"/>
  <c r="O531"/>
  <c r="P531" s="1"/>
  <c r="AY531" s="1"/>
  <c r="V531"/>
  <c r="U531"/>
  <c r="AW530"/>
  <c r="AX530" s="1"/>
  <c r="AU530"/>
  <c r="AV530" s="1"/>
  <c r="AG530"/>
  <c r="AH530" s="1"/>
  <c r="AE530"/>
  <c r="AF530" s="1"/>
  <c r="AL530"/>
  <c r="AK530"/>
  <c r="Q530"/>
  <c r="R530" s="1"/>
  <c r="AZ530" s="1"/>
  <c r="O530"/>
  <c r="P530" s="1"/>
  <c r="AY530" s="1"/>
  <c r="V530"/>
  <c r="U530"/>
  <c r="AW529"/>
  <c r="AX529" s="1"/>
  <c r="AU529"/>
  <c r="AV529" s="1"/>
  <c r="AG529"/>
  <c r="AH529" s="1"/>
  <c r="AE529"/>
  <c r="AF529" s="1"/>
  <c r="AL529"/>
  <c r="AK529"/>
  <c r="Q529"/>
  <c r="R529" s="1"/>
  <c r="AZ529" s="1"/>
  <c r="O529"/>
  <c r="P529" s="1"/>
  <c r="AY529" s="1"/>
  <c r="V529"/>
  <c r="U529"/>
  <c r="AW528"/>
  <c r="AX528" s="1"/>
  <c r="AU528"/>
  <c r="AV528" s="1"/>
  <c r="AG528"/>
  <c r="AH528" s="1"/>
  <c r="AE528"/>
  <c r="AF528" s="1"/>
  <c r="AL528"/>
  <c r="AK528"/>
  <c r="Q528"/>
  <c r="R528" s="1"/>
  <c r="AZ528" s="1"/>
  <c r="O528"/>
  <c r="P528" s="1"/>
  <c r="AY528" s="1"/>
  <c r="V528"/>
  <c r="U528"/>
  <c r="AW527"/>
  <c r="AX527" s="1"/>
  <c r="AU527"/>
  <c r="AV527" s="1"/>
  <c r="AG527"/>
  <c r="AH527" s="1"/>
  <c r="AE527"/>
  <c r="AF527" s="1"/>
  <c r="AL527"/>
  <c r="AK527"/>
  <c r="Q527"/>
  <c r="R527" s="1"/>
  <c r="AZ527" s="1"/>
  <c r="O527"/>
  <c r="P527" s="1"/>
  <c r="AY527" s="1"/>
  <c r="V527"/>
  <c r="U527"/>
  <c r="AW526"/>
  <c r="AX526" s="1"/>
  <c r="AU526"/>
  <c r="AV526" s="1"/>
  <c r="AG526"/>
  <c r="AH526" s="1"/>
  <c r="AE526"/>
  <c r="AF526" s="1"/>
  <c r="AL526"/>
  <c r="AK526"/>
  <c r="Q526"/>
  <c r="R526" s="1"/>
  <c r="AZ526" s="1"/>
  <c r="O526"/>
  <c r="P526" s="1"/>
  <c r="AY526" s="1"/>
  <c r="AW525"/>
  <c r="AX525" s="1"/>
  <c r="AU525"/>
  <c r="AV525" s="1"/>
  <c r="AG525"/>
  <c r="AH525" s="1"/>
  <c r="AE525"/>
  <c r="AF525" s="1"/>
  <c r="AL525"/>
  <c r="AK525"/>
  <c r="Q525"/>
  <c r="R525" s="1"/>
  <c r="AZ525" s="1"/>
  <c r="O525"/>
  <c r="P525" s="1"/>
  <c r="AY525" s="1"/>
  <c r="AW524"/>
  <c r="AX524" s="1"/>
  <c r="AU524"/>
  <c r="AV524" s="1"/>
  <c r="AG524"/>
  <c r="AH524" s="1"/>
  <c r="AE524"/>
  <c r="AF524" s="1"/>
  <c r="AL524"/>
  <c r="AK524"/>
  <c r="Q524"/>
  <c r="R524" s="1"/>
  <c r="AZ524" s="1"/>
  <c r="O524"/>
  <c r="P524" s="1"/>
  <c r="AY524" s="1"/>
  <c r="AW523"/>
  <c r="AX523" s="1"/>
  <c r="AU523"/>
  <c r="AV523" s="1"/>
  <c r="AG523"/>
  <c r="AH523" s="1"/>
  <c r="AE523"/>
  <c r="AF523" s="1"/>
  <c r="AL523"/>
  <c r="AK523"/>
  <c r="Q523"/>
  <c r="R523" s="1"/>
  <c r="AZ523" s="1"/>
  <c r="O523"/>
  <c r="P523" s="1"/>
  <c r="AY523" s="1"/>
  <c r="AW522"/>
  <c r="AX522" s="1"/>
  <c r="AU522"/>
  <c r="AV522" s="1"/>
  <c r="AG522"/>
  <c r="AH522" s="1"/>
  <c r="AE522"/>
  <c r="AF522" s="1"/>
  <c r="AL522"/>
  <c r="AK522"/>
  <c r="Q522"/>
  <c r="R522" s="1"/>
  <c r="AZ522" s="1"/>
  <c r="O522"/>
  <c r="P522" s="1"/>
  <c r="AY522" s="1"/>
  <c r="AW521"/>
  <c r="AX521" s="1"/>
  <c r="AU521"/>
  <c r="AV521" s="1"/>
  <c r="AG521"/>
  <c r="AH521" s="1"/>
  <c r="AE521"/>
  <c r="AF521" s="1"/>
  <c r="AL521"/>
  <c r="AK521"/>
  <c r="Q521"/>
  <c r="R521" s="1"/>
  <c r="AZ521" s="1"/>
  <c r="O521"/>
  <c r="P521" s="1"/>
  <c r="AY521" s="1"/>
  <c r="AW520"/>
  <c r="AX520" s="1"/>
  <c r="AU520"/>
  <c r="AV520" s="1"/>
  <c r="AG520"/>
  <c r="AH520" s="1"/>
  <c r="AE520"/>
  <c r="AF520" s="1"/>
  <c r="AL520"/>
  <c r="AK520"/>
  <c r="Q520"/>
  <c r="R520" s="1"/>
  <c r="AZ520" s="1"/>
  <c r="O520"/>
  <c r="P520" s="1"/>
  <c r="AY520" s="1"/>
  <c r="AW519"/>
  <c r="AX519" s="1"/>
  <c r="AU519"/>
  <c r="AV519" s="1"/>
  <c r="AG519"/>
  <c r="AH519" s="1"/>
  <c r="AE519"/>
  <c r="AF519" s="1"/>
  <c r="AL519"/>
  <c r="AK519"/>
  <c r="Q519"/>
  <c r="R519" s="1"/>
  <c r="AZ519" s="1"/>
  <c r="O519"/>
  <c r="P519" s="1"/>
  <c r="AY519" s="1"/>
  <c r="AW518"/>
  <c r="AX518" s="1"/>
  <c r="AU518"/>
  <c r="AV518" s="1"/>
  <c r="AG518"/>
  <c r="AH518" s="1"/>
  <c r="AE518"/>
  <c r="AF518" s="1"/>
  <c r="AL518"/>
  <c r="AK518"/>
  <c r="Q518"/>
  <c r="R518" s="1"/>
  <c r="AZ518" s="1"/>
  <c r="O518"/>
  <c r="P518" s="1"/>
  <c r="AY518" s="1"/>
  <c r="AW517"/>
  <c r="AX517" s="1"/>
  <c r="AU517"/>
  <c r="AV517" s="1"/>
  <c r="AG517"/>
  <c r="AH517" s="1"/>
  <c r="AE517"/>
  <c r="AF517" s="1"/>
  <c r="AL517"/>
  <c r="AK517"/>
  <c r="Q517"/>
  <c r="R517" s="1"/>
  <c r="AZ517" s="1"/>
  <c r="O517"/>
  <c r="P517" s="1"/>
  <c r="AY517" s="1"/>
  <c r="AW516"/>
  <c r="AX516" s="1"/>
  <c r="AU516"/>
  <c r="AV516" s="1"/>
  <c r="AG516"/>
  <c r="AH516" s="1"/>
  <c r="AE516"/>
  <c r="AF516" s="1"/>
  <c r="AL516"/>
  <c r="AK516"/>
  <c r="Q516"/>
  <c r="R516" s="1"/>
  <c r="AZ516" s="1"/>
  <c r="O516"/>
  <c r="P516" s="1"/>
  <c r="AY516" s="1"/>
  <c r="AW515"/>
  <c r="AX515" s="1"/>
  <c r="AU515"/>
  <c r="AV515" s="1"/>
  <c r="AG515"/>
  <c r="AH515" s="1"/>
  <c r="AE515"/>
  <c r="AF515" s="1"/>
  <c r="AL515"/>
  <c r="AK515"/>
  <c r="Q515"/>
  <c r="R515" s="1"/>
  <c r="AZ515" s="1"/>
  <c r="O515"/>
  <c r="P515" s="1"/>
  <c r="AY515" s="1"/>
  <c r="AW514"/>
  <c r="AX514" s="1"/>
  <c r="AU514"/>
  <c r="AV514" s="1"/>
  <c r="AG514"/>
  <c r="AH514" s="1"/>
  <c r="AE514"/>
  <c r="AF514" s="1"/>
  <c r="AL514"/>
  <c r="AK514"/>
  <c r="Q514"/>
  <c r="R514" s="1"/>
  <c r="AZ514" s="1"/>
  <c r="O514"/>
  <c r="P514" s="1"/>
  <c r="AY514" s="1"/>
  <c r="AW513"/>
  <c r="AX513" s="1"/>
  <c r="AU513"/>
  <c r="AV513" s="1"/>
  <c r="AG513"/>
  <c r="AH513" s="1"/>
  <c r="AE513"/>
  <c r="AF513" s="1"/>
  <c r="AL513"/>
  <c r="AK513"/>
  <c r="Q513"/>
  <c r="R513" s="1"/>
  <c r="AZ513" s="1"/>
  <c r="O513"/>
  <c r="P513" s="1"/>
  <c r="AY513" s="1"/>
  <c r="AW512"/>
  <c r="AX512" s="1"/>
  <c r="AU512"/>
  <c r="AV512" s="1"/>
  <c r="AG512"/>
  <c r="AH512" s="1"/>
  <c r="AE512"/>
  <c r="AF512" s="1"/>
  <c r="AL512"/>
  <c r="AK512"/>
  <c r="Q512"/>
  <c r="R512" s="1"/>
  <c r="AZ512" s="1"/>
  <c r="O512"/>
  <c r="P512" s="1"/>
  <c r="AY512" s="1"/>
  <c r="AW511"/>
  <c r="AX511" s="1"/>
  <c r="AU511"/>
  <c r="AV511" s="1"/>
  <c r="AG511"/>
  <c r="AH511" s="1"/>
  <c r="AE511"/>
  <c r="AF511" s="1"/>
  <c r="AL511"/>
  <c r="AK511"/>
  <c r="Q511"/>
  <c r="R511" s="1"/>
  <c r="AZ511" s="1"/>
  <c r="O511"/>
  <c r="P511" s="1"/>
  <c r="AY511" s="1"/>
  <c r="AW510"/>
  <c r="AX510" s="1"/>
  <c r="AU510"/>
  <c r="AV510" s="1"/>
  <c r="AG510"/>
  <c r="AH510" s="1"/>
  <c r="AE510"/>
  <c r="AF510" s="1"/>
  <c r="AL510"/>
  <c r="AK510"/>
  <c r="Q510"/>
  <c r="R510" s="1"/>
  <c r="AZ510" s="1"/>
  <c r="O510"/>
  <c r="P510" s="1"/>
  <c r="AY510" s="1"/>
  <c r="AW509"/>
  <c r="AX509" s="1"/>
  <c r="AU509"/>
  <c r="AV509" s="1"/>
  <c r="AG509"/>
  <c r="AH509" s="1"/>
  <c r="AE509"/>
  <c r="AF509" s="1"/>
  <c r="AL509"/>
  <c r="AK509"/>
  <c r="Q509"/>
  <c r="R509" s="1"/>
  <c r="AZ509" s="1"/>
  <c r="O509"/>
  <c r="P509" s="1"/>
  <c r="AY509" s="1"/>
  <c r="AW508"/>
  <c r="AX508" s="1"/>
  <c r="AU508"/>
  <c r="AV508" s="1"/>
  <c r="AG508"/>
  <c r="AH508" s="1"/>
  <c r="AE508"/>
  <c r="AF508" s="1"/>
  <c r="AL508"/>
  <c r="AK508"/>
  <c r="Q508"/>
  <c r="R508" s="1"/>
  <c r="AZ508" s="1"/>
  <c r="O508"/>
  <c r="P508" s="1"/>
  <c r="AY508" s="1"/>
  <c r="AW507"/>
  <c r="AX507" s="1"/>
  <c r="AU507"/>
  <c r="AV507" s="1"/>
  <c r="AG507"/>
  <c r="AH507" s="1"/>
  <c r="AE507"/>
  <c r="AF507" s="1"/>
  <c r="AL507"/>
  <c r="AK507"/>
  <c r="Q507"/>
  <c r="R507" s="1"/>
  <c r="AZ507" s="1"/>
  <c r="O507"/>
  <c r="P507" s="1"/>
  <c r="AY507" s="1"/>
  <c r="AW506"/>
  <c r="AX506" s="1"/>
  <c r="AU506"/>
  <c r="AV506" s="1"/>
  <c r="AG506"/>
  <c r="AH506" s="1"/>
  <c r="AE506"/>
  <c r="AF506" s="1"/>
  <c r="AL506"/>
  <c r="AK506"/>
  <c r="Q506"/>
  <c r="R506" s="1"/>
  <c r="AZ506" s="1"/>
  <c r="O506"/>
  <c r="P506" s="1"/>
  <c r="AY506" s="1"/>
  <c r="AW505"/>
  <c r="AX505" s="1"/>
  <c r="AU505"/>
  <c r="AV505" s="1"/>
  <c r="AG505"/>
  <c r="AH505" s="1"/>
  <c r="AE505"/>
  <c r="AF505" s="1"/>
  <c r="AL505"/>
  <c r="AK505"/>
  <c r="Q505"/>
  <c r="R505" s="1"/>
  <c r="AZ505" s="1"/>
  <c r="O505"/>
  <c r="P505" s="1"/>
  <c r="AY505" s="1"/>
  <c r="AW504"/>
  <c r="AX504" s="1"/>
  <c r="AU504"/>
  <c r="AV504" s="1"/>
  <c r="AG504"/>
  <c r="AH504" s="1"/>
  <c r="AE504"/>
  <c r="AF504" s="1"/>
  <c r="AL504"/>
  <c r="AK504"/>
  <c r="Q504"/>
  <c r="R504" s="1"/>
  <c r="AZ504" s="1"/>
  <c r="O504"/>
  <c r="P504" s="1"/>
  <c r="AY504" s="1"/>
  <c r="AW503"/>
  <c r="AX503" s="1"/>
  <c r="AU503"/>
  <c r="AV503" s="1"/>
  <c r="AG503"/>
  <c r="AH503" s="1"/>
  <c r="AE503"/>
  <c r="AF503" s="1"/>
  <c r="AL503"/>
  <c r="AK503"/>
  <c r="Q503"/>
  <c r="R503" s="1"/>
  <c r="AZ503" s="1"/>
  <c r="O503"/>
  <c r="P503" s="1"/>
  <c r="AY503" s="1"/>
  <c r="AW502"/>
  <c r="AX502" s="1"/>
  <c r="AU502"/>
  <c r="AV502" s="1"/>
  <c r="AG502"/>
  <c r="AH502" s="1"/>
  <c r="AE502"/>
  <c r="AF502" s="1"/>
  <c r="AL502"/>
  <c r="AK502"/>
  <c r="Q502"/>
  <c r="R502" s="1"/>
  <c r="AZ502" s="1"/>
  <c r="O502"/>
  <c r="P502" s="1"/>
  <c r="AY502" s="1"/>
  <c r="AW501"/>
  <c r="AX501" s="1"/>
  <c r="AU501"/>
  <c r="AV501" s="1"/>
  <c r="AG501"/>
  <c r="AH501" s="1"/>
  <c r="AE501"/>
  <c r="AF501" s="1"/>
  <c r="AL501"/>
  <c r="AK501"/>
  <c r="Q501"/>
  <c r="O501"/>
  <c r="P501" s="1"/>
  <c r="AY501" s="1"/>
  <c r="AW500"/>
  <c r="AX500" s="1"/>
  <c r="AU500"/>
  <c r="AV500" s="1"/>
  <c r="AG500"/>
  <c r="AH500" s="1"/>
  <c r="AE500"/>
  <c r="AF500" s="1"/>
  <c r="AL500"/>
  <c r="AK500"/>
  <c r="Q500"/>
  <c r="O500"/>
  <c r="P500" s="1"/>
  <c r="AY500" s="1"/>
  <c r="AW499"/>
  <c r="AX499" s="1"/>
  <c r="AU499"/>
  <c r="AV499" s="1"/>
  <c r="AG499"/>
  <c r="AH499" s="1"/>
  <c r="AE499"/>
  <c r="AF499" s="1"/>
  <c r="AL499"/>
  <c r="AK499"/>
  <c r="Q499"/>
  <c r="O499"/>
  <c r="P499" s="1"/>
  <c r="AY499" s="1"/>
  <c r="AW498"/>
  <c r="AX498" s="1"/>
  <c r="AU498"/>
  <c r="AV498" s="1"/>
  <c r="AG498"/>
  <c r="AH498" s="1"/>
  <c r="AE498"/>
  <c r="AF498" s="1"/>
  <c r="AL498"/>
  <c r="AK498"/>
  <c r="Q498"/>
  <c r="O498"/>
  <c r="P498" s="1"/>
  <c r="AY498" s="1"/>
  <c r="AW497"/>
  <c r="AX497" s="1"/>
  <c r="AU497"/>
  <c r="AV497" s="1"/>
  <c r="AG497"/>
  <c r="AH497" s="1"/>
  <c r="AE497"/>
  <c r="AF497" s="1"/>
  <c r="AL497"/>
  <c r="AK497"/>
  <c r="Q497"/>
  <c r="O497"/>
  <c r="P497" s="1"/>
  <c r="AY497" s="1"/>
  <c r="AW496"/>
  <c r="AX496" s="1"/>
  <c r="AU496"/>
  <c r="AV496" s="1"/>
  <c r="AG496"/>
  <c r="AH496" s="1"/>
  <c r="AE496"/>
  <c r="AF496" s="1"/>
  <c r="AL496"/>
  <c r="AK496"/>
  <c r="Q496"/>
  <c r="O496"/>
  <c r="P496" s="1"/>
  <c r="AY496" s="1"/>
  <c r="AW495"/>
  <c r="AX495" s="1"/>
  <c r="AU495"/>
  <c r="AV495" s="1"/>
  <c r="AG495"/>
  <c r="AH495" s="1"/>
  <c r="AE495"/>
  <c r="AF495" s="1"/>
  <c r="AL495"/>
  <c r="AK495"/>
  <c r="Q495"/>
  <c r="O495"/>
  <c r="P495" s="1"/>
  <c r="AY495" s="1"/>
  <c r="AW494"/>
  <c r="AX494" s="1"/>
  <c r="AU494"/>
  <c r="AV494" s="1"/>
  <c r="AG494"/>
  <c r="AH494" s="1"/>
  <c r="AE494"/>
  <c r="AF494" s="1"/>
  <c r="AL494"/>
  <c r="AK494"/>
  <c r="Q494"/>
  <c r="O494"/>
  <c r="P494" s="1"/>
  <c r="AY494" s="1"/>
  <c r="AW493"/>
  <c r="AX493" s="1"/>
  <c r="AU493"/>
  <c r="AV493" s="1"/>
  <c r="AG493"/>
  <c r="AH493" s="1"/>
  <c r="AE493"/>
  <c r="AF493" s="1"/>
  <c r="AL493"/>
  <c r="AK493"/>
  <c r="Q493"/>
  <c r="O493"/>
  <c r="P493" s="1"/>
  <c r="AY493" s="1"/>
  <c r="AW492"/>
  <c r="AX492" s="1"/>
  <c r="AU492"/>
  <c r="AV492" s="1"/>
  <c r="AG492"/>
  <c r="AH492" s="1"/>
  <c r="AE492"/>
  <c r="AF492" s="1"/>
  <c r="AL492"/>
  <c r="AK492"/>
  <c r="Q492"/>
  <c r="O492"/>
  <c r="P492" s="1"/>
  <c r="AY492" s="1"/>
  <c r="AW491"/>
  <c r="AX491" s="1"/>
  <c r="AU491"/>
  <c r="AV491" s="1"/>
  <c r="AG491"/>
  <c r="AH491" s="1"/>
  <c r="AE491"/>
  <c r="AF491" s="1"/>
  <c r="AL491"/>
  <c r="AK491"/>
  <c r="Q491"/>
  <c r="O491"/>
  <c r="P491" s="1"/>
  <c r="AY491" s="1"/>
  <c r="AW490"/>
  <c r="AX490" s="1"/>
  <c r="AU490"/>
  <c r="AV490" s="1"/>
  <c r="AG490"/>
  <c r="AH490" s="1"/>
  <c r="AE490"/>
  <c r="AF490" s="1"/>
  <c r="AL490"/>
  <c r="AK490"/>
  <c r="Q490"/>
  <c r="O490"/>
  <c r="P490" s="1"/>
  <c r="AY490" s="1"/>
  <c r="AW489"/>
  <c r="AX489" s="1"/>
  <c r="AU489"/>
  <c r="AV489" s="1"/>
  <c r="AG489"/>
  <c r="AH489" s="1"/>
  <c r="AE489"/>
  <c r="AF489" s="1"/>
  <c r="AL489"/>
  <c r="AK489"/>
  <c r="Q489"/>
  <c r="O489"/>
  <c r="P489" s="1"/>
  <c r="AY489" s="1"/>
  <c r="AW488"/>
  <c r="AX488" s="1"/>
  <c r="AU488"/>
  <c r="AV488" s="1"/>
  <c r="AG488"/>
  <c r="AH488" s="1"/>
  <c r="AE488"/>
  <c r="AF488" s="1"/>
  <c r="AL488"/>
  <c r="AK488"/>
  <c r="Q488"/>
  <c r="O488"/>
  <c r="P488" s="1"/>
  <c r="AY488" s="1"/>
  <c r="AW487"/>
  <c r="AX487" s="1"/>
  <c r="AU487"/>
  <c r="AV487" s="1"/>
  <c r="AG487"/>
  <c r="AH487" s="1"/>
  <c r="AE487"/>
  <c r="AF487" s="1"/>
  <c r="AL487"/>
  <c r="AK487"/>
  <c r="Q487"/>
  <c r="O487"/>
  <c r="P487" s="1"/>
  <c r="AY487" s="1"/>
  <c r="AW486"/>
  <c r="AX486" s="1"/>
  <c r="AU486"/>
  <c r="AV486" s="1"/>
  <c r="AG486"/>
  <c r="AH486" s="1"/>
  <c r="AE486"/>
  <c r="AF486" s="1"/>
  <c r="AL486"/>
  <c r="AK486"/>
  <c r="Q486"/>
  <c r="O486"/>
  <c r="P486" s="1"/>
  <c r="AY486" s="1"/>
  <c r="AW485"/>
  <c r="AX485" s="1"/>
  <c r="AU485"/>
  <c r="AV485" s="1"/>
  <c r="AG485"/>
  <c r="AH485" s="1"/>
  <c r="AE485"/>
  <c r="AF485" s="1"/>
  <c r="AL485"/>
  <c r="AK485"/>
  <c r="Q485"/>
  <c r="O485"/>
  <c r="P485" s="1"/>
  <c r="AY485" s="1"/>
  <c r="AW484"/>
  <c r="AX484" s="1"/>
  <c r="AU484"/>
  <c r="AV484" s="1"/>
  <c r="AG484"/>
  <c r="AH484" s="1"/>
  <c r="AE484"/>
  <c r="AF484" s="1"/>
  <c r="AL484"/>
  <c r="AK484"/>
  <c r="Q484"/>
  <c r="O484"/>
  <c r="P484" s="1"/>
  <c r="AY484" s="1"/>
  <c r="AW483"/>
  <c r="AX483" s="1"/>
  <c r="AU483"/>
  <c r="AV483" s="1"/>
  <c r="AG483"/>
  <c r="AH483" s="1"/>
  <c r="AE483"/>
  <c r="AF483" s="1"/>
  <c r="AL483"/>
  <c r="AK483"/>
  <c r="Q483"/>
  <c r="O483"/>
  <c r="P483" s="1"/>
  <c r="AY483" s="1"/>
  <c r="AW482"/>
  <c r="AX482" s="1"/>
  <c r="AU482"/>
  <c r="AV482" s="1"/>
  <c r="AG482"/>
  <c r="AH482" s="1"/>
  <c r="AE482"/>
  <c r="AF482" s="1"/>
  <c r="AL482"/>
  <c r="AK482"/>
  <c r="Q482"/>
  <c r="O482"/>
  <c r="P482" s="1"/>
  <c r="AY482" s="1"/>
  <c r="AW481"/>
  <c r="AX481" s="1"/>
  <c r="AU481"/>
  <c r="AV481" s="1"/>
  <c r="AG481"/>
  <c r="AH481" s="1"/>
  <c r="AE481"/>
  <c r="AF481" s="1"/>
  <c r="AL481"/>
  <c r="AK481"/>
  <c r="Q481"/>
  <c r="O481"/>
  <c r="P481" s="1"/>
  <c r="AY481" s="1"/>
  <c r="AW480"/>
  <c r="AX480" s="1"/>
  <c r="AU480"/>
  <c r="AV480" s="1"/>
  <c r="AG480"/>
  <c r="AH480" s="1"/>
  <c r="AE480"/>
  <c r="AF480" s="1"/>
  <c r="AL480"/>
  <c r="AK480"/>
  <c r="Q480"/>
  <c r="O480"/>
  <c r="P480" s="1"/>
  <c r="AY480" s="1"/>
  <c r="AW479"/>
  <c r="AX479" s="1"/>
  <c r="AU479"/>
  <c r="AV479" s="1"/>
  <c r="AG479"/>
  <c r="AH479" s="1"/>
  <c r="AE479"/>
  <c r="AF479" s="1"/>
  <c r="AL479"/>
  <c r="AK479"/>
  <c r="Q479"/>
  <c r="O479"/>
  <c r="P479" s="1"/>
  <c r="AY479" s="1"/>
  <c r="AW478"/>
  <c r="AX478" s="1"/>
  <c r="AU478"/>
  <c r="AV478" s="1"/>
  <c r="AG478"/>
  <c r="AH478" s="1"/>
  <c r="AE478"/>
  <c r="AF478" s="1"/>
  <c r="AL478"/>
  <c r="AK478"/>
  <c r="Q478"/>
  <c r="O478"/>
  <c r="P478" s="1"/>
  <c r="AY478" s="1"/>
  <c r="AW477"/>
  <c r="AX477" s="1"/>
  <c r="AU477"/>
  <c r="AV477" s="1"/>
  <c r="AG477"/>
  <c r="AH477" s="1"/>
  <c r="AE477"/>
  <c r="AF477" s="1"/>
  <c r="AL477"/>
  <c r="AK477"/>
  <c r="Q477"/>
  <c r="O477"/>
  <c r="P477" s="1"/>
  <c r="AY477" s="1"/>
  <c r="AW476"/>
  <c r="AX476" s="1"/>
  <c r="AU476"/>
  <c r="AV476" s="1"/>
  <c r="AG476"/>
  <c r="AH476" s="1"/>
  <c r="AE476"/>
  <c r="AF476" s="1"/>
  <c r="AL476"/>
  <c r="AK476"/>
  <c r="Q476"/>
  <c r="O476"/>
  <c r="P476" s="1"/>
  <c r="AY476" s="1"/>
  <c r="AW475"/>
  <c r="AX475" s="1"/>
  <c r="AU475"/>
  <c r="AV475" s="1"/>
  <c r="AG475"/>
  <c r="AH475" s="1"/>
  <c r="AE475"/>
  <c r="AF475" s="1"/>
  <c r="AL475"/>
  <c r="AK475"/>
  <c r="Q475"/>
  <c r="O475"/>
  <c r="P475" s="1"/>
  <c r="AY475" s="1"/>
  <c r="U475"/>
  <c r="AW474"/>
  <c r="AX474" s="1"/>
  <c r="AU474"/>
  <c r="AV474" s="1"/>
  <c r="AG474"/>
  <c r="AH474" s="1"/>
  <c r="AE474"/>
  <c r="AF474" s="1"/>
  <c r="AL474"/>
  <c r="AK474"/>
  <c r="Q474"/>
  <c r="O474"/>
  <c r="P474" s="1"/>
  <c r="AY474" s="1"/>
  <c r="AG473"/>
  <c r="AH473" s="1"/>
  <c r="AZ473" s="1"/>
  <c r="AE473"/>
  <c r="AF473" s="1"/>
  <c r="AY473" s="1"/>
  <c r="AL473"/>
  <c r="AK473"/>
  <c r="AW466"/>
  <c r="AX466" s="1"/>
  <c r="AU466"/>
  <c r="AV466" s="1"/>
  <c r="AG466"/>
  <c r="AH466" s="1"/>
  <c r="AE466"/>
  <c r="AF466" s="1"/>
  <c r="AL466"/>
  <c r="AK466"/>
  <c r="Q466"/>
  <c r="R466" s="1"/>
  <c r="AZ466" s="1"/>
  <c r="O466"/>
  <c r="P466" s="1"/>
  <c r="AY466" s="1"/>
  <c r="V466"/>
  <c r="U466"/>
  <c r="AW465"/>
  <c r="AX465" s="1"/>
  <c r="AU465"/>
  <c r="AV465" s="1"/>
  <c r="AG465"/>
  <c r="AH465" s="1"/>
  <c r="AE465"/>
  <c r="AF465" s="1"/>
  <c r="AL465"/>
  <c r="AK465"/>
  <c r="Q465"/>
  <c r="R465" s="1"/>
  <c r="AZ465" s="1"/>
  <c r="O465"/>
  <c r="P465" s="1"/>
  <c r="AY465" s="1"/>
  <c r="V465"/>
  <c r="U465"/>
  <c r="AW464"/>
  <c r="AX464" s="1"/>
  <c r="AU464"/>
  <c r="AV464" s="1"/>
  <c r="AG464"/>
  <c r="AH464" s="1"/>
  <c r="AE464"/>
  <c r="AF464" s="1"/>
  <c r="AL464"/>
  <c r="AK464"/>
  <c r="Q464"/>
  <c r="R464" s="1"/>
  <c r="AZ464" s="1"/>
  <c r="O464"/>
  <c r="P464" s="1"/>
  <c r="AY464" s="1"/>
  <c r="V464"/>
  <c r="U464"/>
  <c r="AW463"/>
  <c r="AX463" s="1"/>
  <c r="AU463"/>
  <c r="AV463" s="1"/>
  <c r="AG463"/>
  <c r="AH463" s="1"/>
  <c r="AE463"/>
  <c r="AF463" s="1"/>
  <c r="AL463"/>
  <c r="AK463"/>
  <c r="Q463"/>
  <c r="R463" s="1"/>
  <c r="AZ463" s="1"/>
  <c r="O463"/>
  <c r="P463" s="1"/>
  <c r="AY463" s="1"/>
  <c r="V463"/>
  <c r="U463"/>
  <c r="AW462"/>
  <c r="AX462" s="1"/>
  <c r="AU462"/>
  <c r="AV462" s="1"/>
  <c r="AG462"/>
  <c r="AH462" s="1"/>
  <c r="AE462"/>
  <c r="AF462" s="1"/>
  <c r="AL462"/>
  <c r="AK462"/>
  <c r="Q462"/>
  <c r="R462" s="1"/>
  <c r="AZ462" s="1"/>
  <c r="O462"/>
  <c r="P462" s="1"/>
  <c r="AY462" s="1"/>
  <c r="V462"/>
  <c r="U462"/>
  <c r="AW461"/>
  <c r="AX461" s="1"/>
  <c r="AU461"/>
  <c r="AV461" s="1"/>
  <c r="AG461"/>
  <c r="AH461" s="1"/>
  <c r="AE461"/>
  <c r="AF461" s="1"/>
  <c r="AL461"/>
  <c r="AK461"/>
  <c r="Q461"/>
  <c r="R461" s="1"/>
  <c r="AZ461" s="1"/>
  <c r="O461"/>
  <c r="P461" s="1"/>
  <c r="AY461" s="1"/>
  <c r="V461"/>
  <c r="U461"/>
  <c r="AW460"/>
  <c r="AX460" s="1"/>
  <c r="AU460"/>
  <c r="AV460" s="1"/>
  <c r="AG460"/>
  <c r="AH460" s="1"/>
  <c r="AE460"/>
  <c r="AF460" s="1"/>
  <c r="AL460"/>
  <c r="AK460"/>
  <c r="Q460"/>
  <c r="R460" s="1"/>
  <c r="AZ460" s="1"/>
  <c r="O460"/>
  <c r="P460" s="1"/>
  <c r="AY460" s="1"/>
  <c r="V460"/>
  <c r="U460"/>
  <c r="AW459"/>
  <c r="AX459" s="1"/>
  <c r="AU459"/>
  <c r="AV459" s="1"/>
  <c r="AG459"/>
  <c r="AH459" s="1"/>
  <c r="AE459"/>
  <c r="AF459" s="1"/>
  <c r="AL459"/>
  <c r="AK459"/>
  <c r="Q459"/>
  <c r="R459" s="1"/>
  <c r="AZ459" s="1"/>
  <c r="O459"/>
  <c r="P459" s="1"/>
  <c r="AY459" s="1"/>
  <c r="V459"/>
  <c r="U459"/>
  <c r="AW458"/>
  <c r="AX458" s="1"/>
  <c r="AU458"/>
  <c r="AV458" s="1"/>
  <c r="AG458"/>
  <c r="AH458" s="1"/>
  <c r="AE458"/>
  <c r="AF458" s="1"/>
  <c r="AL458"/>
  <c r="AK458"/>
  <c r="Q458"/>
  <c r="R458" s="1"/>
  <c r="AZ458" s="1"/>
  <c r="O458"/>
  <c r="P458" s="1"/>
  <c r="AY458" s="1"/>
  <c r="V458"/>
  <c r="U458"/>
  <c r="AW457"/>
  <c r="AX457" s="1"/>
  <c r="AU457"/>
  <c r="AV457" s="1"/>
  <c r="AG457"/>
  <c r="AH457" s="1"/>
  <c r="AE457"/>
  <c r="AF457" s="1"/>
  <c r="AL457"/>
  <c r="AK457"/>
  <c r="Q457"/>
  <c r="R457" s="1"/>
  <c r="AZ457" s="1"/>
  <c r="O457"/>
  <c r="P457" s="1"/>
  <c r="AY457" s="1"/>
  <c r="V457"/>
  <c r="U457"/>
  <c r="AW456"/>
  <c r="AX456" s="1"/>
  <c r="AU456"/>
  <c r="AV456" s="1"/>
  <c r="AG456"/>
  <c r="AH456" s="1"/>
  <c r="AE456"/>
  <c r="AF456" s="1"/>
  <c r="AL456"/>
  <c r="AK456"/>
  <c r="Q456"/>
  <c r="R456" s="1"/>
  <c r="AZ456" s="1"/>
  <c r="O456"/>
  <c r="P456" s="1"/>
  <c r="AY456" s="1"/>
  <c r="V456"/>
  <c r="U456"/>
  <c r="AW455"/>
  <c r="AX455" s="1"/>
  <c r="AU455"/>
  <c r="AV455" s="1"/>
  <c r="AG455"/>
  <c r="AH455" s="1"/>
  <c r="AE455"/>
  <c r="AF455" s="1"/>
  <c r="AL455"/>
  <c r="AK455"/>
  <c r="Q455"/>
  <c r="R455" s="1"/>
  <c r="AZ455" s="1"/>
  <c r="O455"/>
  <c r="P455" s="1"/>
  <c r="AY455" s="1"/>
  <c r="V455"/>
  <c r="U455"/>
  <c r="AW454"/>
  <c r="AX454" s="1"/>
  <c r="AU454"/>
  <c r="AV454" s="1"/>
  <c r="AG454"/>
  <c r="AH454" s="1"/>
  <c r="AE454"/>
  <c r="AF454" s="1"/>
  <c r="AL454"/>
  <c r="AK454"/>
  <c r="Q454"/>
  <c r="R454" s="1"/>
  <c r="AZ454" s="1"/>
  <c r="O454"/>
  <c r="P454" s="1"/>
  <c r="AY454" s="1"/>
  <c r="V454"/>
  <c r="U454"/>
  <c r="AW453"/>
  <c r="AX453" s="1"/>
  <c r="AU453"/>
  <c r="AV453" s="1"/>
  <c r="AG453"/>
  <c r="AH453" s="1"/>
  <c r="AE453"/>
  <c r="AF453" s="1"/>
  <c r="AL453"/>
  <c r="AK453"/>
  <c r="Q453"/>
  <c r="R453" s="1"/>
  <c r="AZ453" s="1"/>
  <c r="O453"/>
  <c r="P453" s="1"/>
  <c r="AY453" s="1"/>
  <c r="V453"/>
  <c r="U453"/>
  <c r="AW452"/>
  <c r="AX452" s="1"/>
  <c r="AU452"/>
  <c r="AV452" s="1"/>
  <c r="AG452"/>
  <c r="AH452" s="1"/>
  <c r="AE452"/>
  <c r="AF452" s="1"/>
  <c r="AL452"/>
  <c r="AK452"/>
  <c r="Q452"/>
  <c r="R452" s="1"/>
  <c r="AZ452" s="1"/>
  <c r="O452"/>
  <c r="P452" s="1"/>
  <c r="AY452" s="1"/>
  <c r="V452"/>
  <c r="U452"/>
  <c r="AW451"/>
  <c r="AX451" s="1"/>
  <c r="AU451"/>
  <c r="AV451" s="1"/>
  <c r="AG451"/>
  <c r="AH451" s="1"/>
  <c r="AE451"/>
  <c r="AF451" s="1"/>
  <c r="AL451"/>
  <c r="AK451"/>
  <c r="Q451"/>
  <c r="R451" s="1"/>
  <c r="AZ451" s="1"/>
  <c r="O451"/>
  <c r="P451" s="1"/>
  <c r="AY451" s="1"/>
  <c r="V451"/>
  <c r="U451"/>
  <c r="AW450"/>
  <c r="AX450" s="1"/>
  <c r="AU450"/>
  <c r="AV450" s="1"/>
  <c r="AG450"/>
  <c r="AH450" s="1"/>
  <c r="AE450"/>
  <c r="AF450" s="1"/>
  <c r="AL450"/>
  <c r="AK450"/>
  <c r="Q450"/>
  <c r="R450" s="1"/>
  <c r="AZ450" s="1"/>
  <c r="O450"/>
  <c r="P450" s="1"/>
  <c r="AY450" s="1"/>
  <c r="V450"/>
  <c r="U450"/>
  <c r="AW449"/>
  <c r="AX449" s="1"/>
  <c r="AU449"/>
  <c r="AV449" s="1"/>
  <c r="AG449"/>
  <c r="AH449" s="1"/>
  <c r="AE449"/>
  <c r="AF449" s="1"/>
  <c r="AL449"/>
  <c r="AK449"/>
  <c r="Q449"/>
  <c r="R449" s="1"/>
  <c r="AZ449" s="1"/>
  <c r="O449"/>
  <c r="P449" s="1"/>
  <c r="AY449" s="1"/>
  <c r="V449"/>
  <c r="U449"/>
  <c r="AW448"/>
  <c r="AX448" s="1"/>
  <c r="AU448"/>
  <c r="AV448" s="1"/>
  <c r="AG448"/>
  <c r="AH448" s="1"/>
  <c r="AE448"/>
  <c r="AF448" s="1"/>
  <c r="AL448"/>
  <c r="AK448"/>
  <c r="Q448"/>
  <c r="R448" s="1"/>
  <c r="AZ448" s="1"/>
  <c r="O448"/>
  <c r="P448" s="1"/>
  <c r="AY448" s="1"/>
  <c r="V448"/>
  <c r="U448"/>
  <c r="AW447"/>
  <c r="AX447" s="1"/>
  <c r="AU447"/>
  <c r="AV447" s="1"/>
  <c r="AG447"/>
  <c r="AH447" s="1"/>
  <c r="AE447"/>
  <c r="AF447" s="1"/>
  <c r="AL447"/>
  <c r="AK447"/>
  <c r="Q447"/>
  <c r="R447" s="1"/>
  <c r="AZ447" s="1"/>
  <c r="O447"/>
  <c r="P447" s="1"/>
  <c r="AY447" s="1"/>
  <c r="V447"/>
  <c r="U447"/>
  <c r="AW446"/>
  <c r="AX446" s="1"/>
  <c r="AU446"/>
  <c r="AV446" s="1"/>
  <c r="AG446"/>
  <c r="AH446" s="1"/>
  <c r="AE446"/>
  <c r="AF446" s="1"/>
  <c r="AL446"/>
  <c r="AK446"/>
  <c r="Q446"/>
  <c r="R446" s="1"/>
  <c r="AZ446" s="1"/>
  <c r="O446"/>
  <c r="P446" s="1"/>
  <c r="AY446" s="1"/>
  <c r="V446"/>
  <c r="U446"/>
  <c r="AW445"/>
  <c r="AX445" s="1"/>
  <c r="AU445"/>
  <c r="AV445" s="1"/>
  <c r="AG445"/>
  <c r="AH445" s="1"/>
  <c r="AE445"/>
  <c r="AF445" s="1"/>
  <c r="AL445"/>
  <c r="AK445"/>
  <c r="Q445"/>
  <c r="R445" s="1"/>
  <c r="AZ445" s="1"/>
  <c r="O445"/>
  <c r="P445" s="1"/>
  <c r="AY445" s="1"/>
  <c r="V445"/>
  <c r="U445"/>
  <c r="AW444"/>
  <c r="AX444" s="1"/>
  <c r="AU444"/>
  <c r="AV444" s="1"/>
  <c r="AG444"/>
  <c r="AH444" s="1"/>
  <c r="AE444"/>
  <c r="AF444" s="1"/>
  <c r="AL444"/>
  <c r="AK444"/>
  <c r="Q444"/>
  <c r="R444" s="1"/>
  <c r="AZ444" s="1"/>
  <c r="O444"/>
  <c r="P444" s="1"/>
  <c r="AY444" s="1"/>
  <c r="V444"/>
  <c r="U444"/>
  <c r="AW443"/>
  <c r="AX443" s="1"/>
  <c r="AU443"/>
  <c r="AV443" s="1"/>
  <c r="AG443"/>
  <c r="AH443" s="1"/>
  <c r="AE443"/>
  <c r="AF443" s="1"/>
  <c r="AL443"/>
  <c r="AK443"/>
  <c r="Q443"/>
  <c r="R443" s="1"/>
  <c r="AZ443" s="1"/>
  <c r="O443"/>
  <c r="P443" s="1"/>
  <c r="AY443" s="1"/>
  <c r="V443"/>
  <c r="U443"/>
  <c r="AW442"/>
  <c r="AX442" s="1"/>
  <c r="AU442"/>
  <c r="AV442" s="1"/>
  <c r="AG442"/>
  <c r="AH442" s="1"/>
  <c r="AE442"/>
  <c r="AF442" s="1"/>
  <c r="AL442"/>
  <c r="AK442"/>
  <c r="Q442"/>
  <c r="R442" s="1"/>
  <c r="AZ442" s="1"/>
  <c r="O442"/>
  <c r="P442" s="1"/>
  <c r="AY442" s="1"/>
  <c r="V442"/>
  <c r="U442"/>
  <c r="AW441"/>
  <c r="AX441" s="1"/>
  <c r="AU441"/>
  <c r="AV441" s="1"/>
  <c r="AG441"/>
  <c r="AH441" s="1"/>
  <c r="AE441"/>
  <c r="AF441" s="1"/>
  <c r="AL441"/>
  <c r="AK441"/>
  <c r="Q441"/>
  <c r="R441" s="1"/>
  <c r="AZ441" s="1"/>
  <c r="O441"/>
  <c r="P441" s="1"/>
  <c r="AY441" s="1"/>
  <c r="V441"/>
  <c r="U441"/>
  <c r="AW440"/>
  <c r="AX440" s="1"/>
  <c r="AU440"/>
  <c r="AV440" s="1"/>
  <c r="AG440"/>
  <c r="AH440" s="1"/>
  <c r="AE440"/>
  <c r="AF440" s="1"/>
  <c r="AL440"/>
  <c r="AK440"/>
  <c r="Q440"/>
  <c r="R440" s="1"/>
  <c r="AZ440" s="1"/>
  <c r="O440"/>
  <c r="P440" s="1"/>
  <c r="AY440" s="1"/>
  <c r="V440"/>
  <c r="U440"/>
  <c r="AW439"/>
  <c r="AX439" s="1"/>
  <c r="AU439"/>
  <c r="AV439" s="1"/>
  <c r="AG439"/>
  <c r="AH439" s="1"/>
  <c r="AE439"/>
  <c r="AF439" s="1"/>
  <c r="AL439"/>
  <c r="AK439"/>
  <c r="Q439"/>
  <c r="R439" s="1"/>
  <c r="AZ439" s="1"/>
  <c r="O439"/>
  <c r="P439" s="1"/>
  <c r="AY439" s="1"/>
  <c r="V439"/>
  <c r="U439"/>
  <c r="AW438"/>
  <c r="AX438" s="1"/>
  <c r="AU438"/>
  <c r="AV438" s="1"/>
  <c r="AG438"/>
  <c r="AH438" s="1"/>
  <c r="AE438"/>
  <c r="AF438" s="1"/>
  <c r="AL438"/>
  <c r="AK438"/>
  <c r="Q438"/>
  <c r="R438" s="1"/>
  <c r="AZ438" s="1"/>
  <c r="O438"/>
  <c r="P438" s="1"/>
  <c r="AY438" s="1"/>
  <c r="V438"/>
  <c r="U438"/>
  <c r="AW437"/>
  <c r="AX437" s="1"/>
  <c r="AU437"/>
  <c r="AV437" s="1"/>
  <c r="AG437"/>
  <c r="AH437" s="1"/>
  <c r="AE437"/>
  <c r="AF437" s="1"/>
  <c r="AL437"/>
  <c r="AK437"/>
  <c r="Q437"/>
  <c r="R437" s="1"/>
  <c r="AZ437" s="1"/>
  <c r="O437"/>
  <c r="P437" s="1"/>
  <c r="AY437" s="1"/>
  <c r="V437"/>
  <c r="U437"/>
  <c r="AW436"/>
  <c r="AX436" s="1"/>
  <c r="AU436"/>
  <c r="AV436" s="1"/>
  <c r="AG436"/>
  <c r="AH436" s="1"/>
  <c r="AE436"/>
  <c r="AF436" s="1"/>
  <c r="AL436"/>
  <c r="AK436"/>
  <c r="Q436"/>
  <c r="R436" s="1"/>
  <c r="AZ436" s="1"/>
  <c r="O436"/>
  <c r="P436" s="1"/>
  <c r="AY436" s="1"/>
  <c r="V436"/>
  <c r="U436"/>
  <c r="AW435"/>
  <c r="AX435" s="1"/>
  <c r="AU435"/>
  <c r="AV435" s="1"/>
  <c r="AG435"/>
  <c r="AH435" s="1"/>
  <c r="AE435"/>
  <c r="AF435" s="1"/>
  <c r="AL435"/>
  <c r="AK435"/>
  <c r="Q435"/>
  <c r="R435" s="1"/>
  <c r="AZ435" s="1"/>
  <c r="O435"/>
  <c r="P435" s="1"/>
  <c r="AY435" s="1"/>
  <c r="V435"/>
  <c r="U435"/>
  <c r="AW434"/>
  <c r="AX434" s="1"/>
  <c r="AU434"/>
  <c r="AV434" s="1"/>
  <c r="AG434"/>
  <c r="AH434" s="1"/>
  <c r="AE434"/>
  <c r="AF434" s="1"/>
  <c r="AL434"/>
  <c r="AK434"/>
  <c r="Q434"/>
  <c r="R434" s="1"/>
  <c r="AZ434" s="1"/>
  <c r="O434"/>
  <c r="P434" s="1"/>
  <c r="AY434" s="1"/>
  <c r="V434"/>
  <c r="U434"/>
  <c r="AW433"/>
  <c r="AX433" s="1"/>
  <c r="AU433"/>
  <c r="AV433" s="1"/>
  <c r="AG433"/>
  <c r="AH433" s="1"/>
  <c r="AE433"/>
  <c r="AF433" s="1"/>
  <c r="AL433"/>
  <c r="AK433"/>
  <c r="Q433"/>
  <c r="R433" s="1"/>
  <c r="AZ433" s="1"/>
  <c r="O433"/>
  <c r="P433" s="1"/>
  <c r="AY433" s="1"/>
  <c r="V433"/>
  <c r="U433"/>
  <c r="AW432"/>
  <c r="AX432" s="1"/>
  <c r="AU432"/>
  <c r="AV432" s="1"/>
  <c r="AG432"/>
  <c r="AH432" s="1"/>
  <c r="AE432"/>
  <c r="AF432" s="1"/>
  <c r="AL432"/>
  <c r="AK432"/>
  <c r="Q432"/>
  <c r="R432" s="1"/>
  <c r="AZ432" s="1"/>
  <c r="O432"/>
  <c r="P432" s="1"/>
  <c r="AY432" s="1"/>
  <c r="V432"/>
  <c r="U432"/>
  <c r="AW431"/>
  <c r="AX431" s="1"/>
  <c r="AU431"/>
  <c r="AV431" s="1"/>
  <c r="AG431"/>
  <c r="AH431" s="1"/>
  <c r="AE431"/>
  <c r="AF431" s="1"/>
  <c r="AL431"/>
  <c r="AK431"/>
  <c r="Q431"/>
  <c r="R431" s="1"/>
  <c r="AZ431" s="1"/>
  <c r="O431"/>
  <c r="P431" s="1"/>
  <c r="AY431" s="1"/>
  <c r="V431"/>
  <c r="U431"/>
  <c r="AW430"/>
  <c r="AX430" s="1"/>
  <c r="AU430"/>
  <c r="AV430" s="1"/>
  <c r="AG430"/>
  <c r="AH430" s="1"/>
  <c r="AE430"/>
  <c r="AF430" s="1"/>
  <c r="AL430"/>
  <c r="AK430"/>
  <c r="Q430"/>
  <c r="R430" s="1"/>
  <c r="AZ430" s="1"/>
  <c r="O430"/>
  <c r="P430" s="1"/>
  <c r="AY430" s="1"/>
  <c r="V430"/>
  <c r="U430"/>
  <c r="AW429"/>
  <c r="AX429" s="1"/>
  <c r="AU429"/>
  <c r="AV429" s="1"/>
  <c r="AG429"/>
  <c r="AH429" s="1"/>
  <c r="AE429"/>
  <c r="AF429" s="1"/>
  <c r="AL429"/>
  <c r="AK429"/>
  <c r="Q429"/>
  <c r="R429" s="1"/>
  <c r="AZ429" s="1"/>
  <c r="O429"/>
  <c r="P429" s="1"/>
  <c r="AY429" s="1"/>
  <c r="V429"/>
  <c r="U429"/>
  <c r="AW428"/>
  <c r="AX428" s="1"/>
  <c r="AU428"/>
  <c r="AV428" s="1"/>
  <c r="AG428"/>
  <c r="AH428" s="1"/>
  <c r="AE428"/>
  <c r="AF428" s="1"/>
  <c r="AL428"/>
  <c r="AK428"/>
  <c r="Q428"/>
  <c r="R428" s="1"/>
  <c r="AZ428" s="1"/>
  <c r="O428"/>
  <c r="P428" s="1"/>
  <c r="AY428" s="1"/>
  <c r="V428"/>
  <c r="U428"/>
  <c r="AW427"/>
  <c r="AX427" s="1"/>
  <c r="AU427"/>
  <c r="AV427" s="1"/>
  <c r="AG427"/>
  <c r="AH427" s="1"/>
  <c r="AE427"/>
  <c r="AF427" s="1"/>
  <c r="AL427"/>
  <c r="AK427"/>
  <c r="Q427"/>
  <c r="R427" s="1"/>
  <c r="AZ427" s="1"/>
  <c r="O427"/>
  <c r="P427" s="1"/>
  <c r="AY427" s="1"/>
  <c r="V427"/>
  <c r="U427"/>
  <c r="AW426"/>
  <c r="AX426" s="1"/>
  <c r="AU426"/>
  <c r="AV426" s="1"/>
  <c r="AG426"/>
  <c r="AH426" s="1"/>
  <c r="AE426"/>
  <c r="AF426" s="1"/>
  <c r="AL426"/>
  <c r="AK426"/>
  <c r="Q426"/>
  <c r="R426" s="1"/>
  <c r="AZ426" s="1"/>
  <c r="O426"/>
  <c r="P426" s="1"/>
  <c r="AY426" s="1"/>
  <c r="V426"/>
  <c r="U426"/>
  <c r="AW425"/>
  <c r="AX425" s="1"/>
  <c r="AU425"/>
  <c r="AV425" s="1"/>
  <c r="AG425"/>
  <c r="AH425" s="1"/>
  <c r="AE425"/>
  <c r="AF425" s="1"/>
  <c r="AL425"/>
  <c r="AK425"/>
  <c r="Q425"/>
  <c r="R425" s="1"/>
  <c r="AZ425" s="1"/>
  <c r="O425"/>
  <c r="P425" s="1"/>
  <c r="AY425" s="1"/>
  <c r="V425"/>
  <c r="U425"/>
  <c r="AW424"/>
  <c r="AX424" s="1"/>
  <c r="AU424"/>
  <c r="AV424" s="1"/>
  <c r="AG424"/>
  <c r="AH424" s="1"/>
  <c r="AE424"/>
  <c r="AF424" s="1"/>
  <c r="AL424"/>
  <c r="AK424"/>
  <c r="Q424"/>
  <c r="R424" s="1"/>
  <c r="AZ424" s="1"/>
  <c r="O424"/>
  <c r="P424" s="1"/>
  <c r="AY424" s="1"/>
  <c r="V424"/>
  <c r="U424"/>
  <c r="AW423"/>
  <c r="AX423" s="1"/>
  <c r="AU423"/>
  <c r="AV423" s="1"/>
  <c r="AG423"/>
  <c r="AH423" s="1"/>
  <c r="AE423"/>
  <c r="AF423" s="1"/>
  <c r="AL423"/>
  <c r="AK423"/>
  <c r="Q423"/>
  <c r="R423" s="1"/>
  <c r="AZ423" s="1"/>
  <c r="O423"/>
  <c r="P423" s="1"/>
  <c r="AY423" s="1"/>
  <c r="V423"/>
  <c r="U423"/>
  <c r="AW422"/>
  <c r="AX422" s="1"/>
  <c r="AU422"/>
  <c r="AV422" s="1"/>
  <c r="AG422"/>
  <c r="AH422" s="1"/>
  <c r="AE422"/>
  <c r="AF422" s="1"/>
  <c r="AL422"/>
  <c r="AK422"/>
  <c r="Q422"/>
  <c r="R422" s="1"/>
  <c r="AZ422" s="1"/>
  <c r="O422"/>
  <c r="P422" s="1"/>
  <c r="AY422" s="1"/>
  <c r="V422"/>
  <c r="U422"/>
  <c r="AW421"/>
  <c r="AX421" s="1"/>
  <c r="AU421"/>
  <c r="AV421" s="1"/>
  <c r="AG421"/>
  <c r="AH421" s="1"/>
  <c r="AE421"/>
  <c r="AF421" s="1"/>
  <c r="AL421"/>
  <c r="AK421"/>
  <c r="Q421"/>
  <c r="R421" s="1"/>
  <c r="AZ421" s="1"/>
  <c r="O421"/>
  <c r="P421" s="1"/>
  <c r="AY421" s="1"/>
  <c r="V421"/>
  <c r="U421"/>
  <c r="AW420"/>
  <c r="AX420" s="1"/>
  <c r="AU420"/>
  <c r="AV420" s="1"/>
  <c r="AG420"/>
  <c r="AH420" s="1"/>
  <c r="AE420"/>
  <c r="AF420" s="1"/>
  <c r="AL420"/>
  <c r="AK420"/>
  <c r="Q420"/>
  <c r="R420" s="1"/>
  <c r="AZ420" s="1"/>
  <c r="O420"/>
  <c r="P420" s="1"/>
  <c r="AY420" s="1"/>
  <c r="AW419"/>
  <c r="AX419" s="1"/>
  <c r="AU419"/>
  <c r="AV419" s="1"/>
  <c r="AG419"/>
  <c r="AH419" s="1"/>
  <c r="AE419"/>
  <c r="AF419" s="1"/>
  <c r="AL419"/>
  <c r="AK419"/>
  <c r="Q419"/>
  <c r="R419" s="1"/>
  <c r="AZ419" s="1"/>
  <c r="O419"/>
  <c r="P419" s="1"/>
  <c r="AY419" s="1"/>
  <c r="AW418"/>
  <c r="AX418" s="1"/>
  <c r="AU418"/>
  <c r="AV418" s="1"/>
  <c r="AG418"/>
  <c r="AH418" s="1"/>
  <c r="AE418"/>
  <c r="AF418" s="1"/>
  <c r="AL418"/>
  <c r="AK418"/>
  <c r="Q418"/>
  <c r="R418" s="1"/>
  <c r="AZ418" s="1"/>
  <c r="O418"/>
  <c r="P418" s="1"/>
  <c r="AY418" s="1"/>
  <c r="AW417"/>
  <c r="AX417" s="1"/>
  <c r="AU417"/>
  <c r="AV417" s="1"/>
  <c r="AG417"/>
  <c r="AH417" s="1"/>
  <c r="AE417"/>
  <c r="AF417" s="1"/>
  <c r="AL417"/>
  <c r="AK417"/>
  <c r="Q417"/>
  <c r="R417" s="1"/>
  <c r="AZ417" s="1"/>
  <c r="O417"/>
  <c r="P417" s="1"/>
  <c r="AY417" s="1"/>
  <c r="AW416"/>
  <c r="AX416" s="1"/>
  <c r="AU416"/>
  <c r="AV416" s="1"/>
  <c r="AG416"/>
  <c r="AH416" s="1"/>
  <c r="AE416"/>
  <c r="AF416" s="1"/>
  <c r="AL416"/>
  <c r="AK416"/>
  <c r="Q416"/>
  <c r="R416" s="1"/>
  <c r="AZ416" s="1"/>
  <c r="O416"/>
  <c r="P416" s="1"/>
  <c r="AY416" s="1"/>
  <c r="AW415"/>
  <c r="AX415" s="1"/>
  <c r="AU415"/>
  <c r="AV415" s="1"/>
  <c r="AG415"/>
  <c r="AH415" s="1"/>
  <c r="AE415"/>
  <c r="AF415" s="1"/>
  <c r="AL415"/>
  <c r="AK415"/>
  <c r="Q415"/>
  <c r="R415" s="1"/>
  <c r="AZ415" s="1"/>
  <c r="O415"/>
  <c r="P415" s="1"/>
  <c r="AY415" s="1"/>
  <c r="AW414"/>
  <c r="AX414" s="1"/>
  <c r="AU414"/>
  <c r="AV414" s="1"/>
  <c r="AG414"/>
  <c r="AH414" s="1"/>
  <c r="AE414"/>
  <c r="AF414" s="1"/>
  <c r="AL414"/>
  <c r="AK414"/>
  <c r="Q414"/>
  <c r="R414" s="1"/>
  <c r="AZ414" s="1"/>
  <c r="O414"/>
  <c r="P414" s="1"/>
  <c r="AY414" s="1"/>
  <c r="AW413"/>
  <c r="AX413" s="1"/>
  <c r="AU413"/>
  <c r="AV413" s="1"/>
  <c r="AG413"/>
  <c r="AH413" s="1"/>
  <c r="AE413"/>
  <c r="AF413" s="1"/>
  <c r="AL413"/>
  <c r="AK413"/>
  <c r="Q413"/>
  <c r="R413" s="1"/>
  <c r="AZ413" s="1"/>
  <c r="O413"/>
  <c r="P413" s="1"/>
  <c r="AY413" s="1"/>
  <c r="AW412"/>
  <c r="AX412" s="1"/>
  <c r="AU412"/>
  <c r="AV412" s="1"/>
  <c r="AG412"/>
  <c r="AH412" s="1"/>
  <c r="AE412"/>
  <c r="AF412" s="1"/>
  <c r="AL412"/>
  <c r="AK412"/>
  <c r="Q412"/>
  <c r="R412" s="1"/>
  <c r="AZ412" s="1"/>
  <c r="O412"/>
  <c r="P412" s="1"/>
  <c r="AY412" s="1"/>
  <c r="AW411"/>
  <c r="AX411" s="1"/>
  <c r="AU411"/>
  <c r="AV411" s="1"/>
  <c r="AG411"/>
  <c r="AH411" s="1"/>
  <c r="AE411"/>
  <c r="AF411" s="1"/>
  <c r="AL411"/>
  <c r="AK411"/>
  <c r="O411"/>
  <c r="P411" s="1"/>
  <c r="N411"/>
  <c r="Q411" s="1"/>
  <c r="R411" s="1"/>
  <c r="AW410"/>
  <c r="AX410" s="1"/>
  <c r="AU410"/>
  <c r="AV410" s="1"/>
  <c r="AG410"/>
  <c r="AH410" s="1"/>
  <c r="AE410"/>
  <c r="AF410" s="1"/>
  <c r="AL410"/>
  <c r="AK410"/>
  <c r="Q410"/>
  <c r="R410" s="1"/>
  <c r="AZ410" s="1"/>
  <c r="O410"/>
  <c r="P410" s="1"/>
  <c r="AY410" s="1"/>
  <c r="AW409"/>
  <c r="AX409" s="1"/>
  <c r="AU409"/>
  <c r="AV409" s="1"/>
  <c r="AG409"/>
  <c r="AH409" s="1"/>
  <c r="AE409"/>
  <c r="AF409" s="1"/>
  <c r="AL409"/>
  <c r="AK409"/>
  <c r="Q409"/>
  <c r="R409" s="1"/>
  <c r="AZ409" s="1"/>
  <c r="O409"/>
  <c r="P409" s="1"/>
  <c r="AY409" s="1"/>
  <c r="AW408"/>
  <c r="AX408" s="1"/>
  <c r="AU408"/>
  <c r="AV408" s="1"/>
  <c r="AG408"/>
  <c r="AH408" s="1"/>
  <c r="AE408"/>
  <c r="AF408" s="1"/>
  <c r="AL408"/>
  <c r="AK408"/>
  <c r="Q408"/>
  <c r="R408" s="1"/>
  <c r="AZ408" s="1"/>
  <c r="O408"/>
  <c r="P408" s="1"/>
  <c r="AY408" s="1"/>
  <c r="AW407"/>
  <c r="AX407" s="1"/>
  <c r="AU407"/>
  <c r="AV407" s="1"/>
  <c r="AG407"/>
  <c r="AH407" s="1"/>
  <c r="AE407"/>
  <c r="AF407" s="1"/>
  <c r="AL407"/>
  <c r="AK407"/>
  <c r="O407"/>
  <c r="P407" s="1"/>
  <c r="N407"/>
  <c r="Q407" s="1"/>
  <c r="AW406"/>
  <c r="AX406" s="1"/>
  <c r="AU406"/>
  <c r="AV406" s="1"/>
  <c r="AG406"/>
  <c r="AH406" s="1"/>
  <c r="AE406"/>
  <c r="AF406" s="1"/>
  <c r="AL406"/>
  <c r="AK406"/>
  <c r="O406"/>
  <c r="P406" s="1"/>
  <c r="N406"/>
  <c r="Q406" s="1"/>
  <c r="R406" s="1"/>
  <c r="AW405"/>
  <c r="AX405" s="1"/>
  <c r="AU405"/>
  <c r="AV405" s="1"/>
  <c r="AG405"/>
  <c r="AH405" s="1"/>
  <c r="AE405"/>
  <c r="AF405" s="1"/>
  <c r="AL405"/>
  <c r="AK405"/>
  <c r="O405"/>
  <c r="P405" s="1"/>
  <c r="N405"/>
  <c r="Q405" s="1"/>
  <c r="AW404"/>
  <c r="AX404" s="1"/>
  <c r="AU404"/>
  <c r="AV404" s="1"/>
  <c r="AG404"/>
  <c r="AH404" s="1"/>
  <c r="AE404"/>
  <c r="AF404" s="1"/>
  <c r="AL404"/>
  <c r="AK404"/>
  <c r="O404"/>
  <c r="P404" s="1"/>
  <c r="N404"/>
  <c r="Q404" s="1"/>
  <c r="R404" s="1"/>
  <c r="AW403"/>
  <c r="AX403" s="1"/>
  <c r="AU403"/>
  <c r="AV403" s="1"/>
  <c r="AG403"/>
  <c r="AH403" s="1"/>
  <c r="AE403"/>
  <c r="AF403" s="1"/>
  <c r="AL403"/>
  <c r="AK403"/>
  <c r="O403"/>
  <c r="P403" s="1"/>
  <c r="N403"/>
  <c r="Q403" s="1"/>
  <c r="AW402"/>
  <c r="AX402" s="1"/>
  <c r="AU402"/>
  <c r="AV402" s="1"/>
  <c r="AG402"/>
  <c r="AH402" s="1"/>
  <c r="AE402"/>
  <c r="AF402" s="1"/>
  <c r="AL402"/>
  <c r="AK402"/>
  <c r="O402"/>
  <c r="P402" s="1"/>
  <c r="N402"/>
  <c r="Q402" s="1"/>
  <c r="R402" s="1"/>
  <c r="AW401"/>
  <c r="AX401" s="1"/>
  <c r="AU401"/>
  <c r="AV401" s="1"/>
  <c r="AG401"/>
  <c r="AH401" s="1"/>
  <c r="AE401"/>
  <c r="AF401" s="1"/>
  <c r="AL401"/>
  <c r="AK401"/>
  <c r="O401"/>
  <c r="P401" s="1"/>
  <c r="N401"/>
  <c r="Q401" s="1"/>
  <c r="AW400"/>
  <c r="AX400" s="1"/>
  <c r="AQ400"/>
  <c r="AU400" s="1"/>
  <c r="AV400" s="1"/>
  <c r="AG400"/>
  <c r="AH400" s="1"/>
  <c r="AE400"/>
  <c r="AF400" s="1"/>
  <c r="AL400"/>
  <c r="AK400"/>
  <c r="O400"/>
  <c r="P400" s="1"/>
  <c r="U400"/>
  <c r="N400"/>
  <c r="Q400" s="1"/>
  <c r="AW399"/>
  <c r="AX399" s="1"/>
  <c r="AU399"/>
  <c r="AV399" s="1"/>
  <c r="AG399"/>
  <c r="AH399" s="1"/>
  <c r="AE399"/>
  <c r="AF399" s="1"/>
  <c r="AL399"/>
  <c r="AK399"/>
  <c r="O399"/>
  <c r="P399" s="1"/>
  <c r="N399"/>
  <c r="Q399" s="1"/>
  <c r="R399" s="1"/>
  <c r="AW398"/>
  <c r="AX398" s="1"/>
  <c r="AU398"/>
  <c r="AV398" s="1"/>
  <c r="AG398"/>
  <c r="AH398" s="1"/>
  <c r="AE398"/>
  <c r="AF398" s="1"/>
  <c r="AL398"/>
  <c r="AK398"/>
  <c r="O398"/>
  <c r="P398" s="1"/>
  <c r="N398"/>
  <c r="Q398" s="1"/>
  <c r="AW397"/>
  <c r="AX397" s="1"/>
  <c r="AU397"/>
  <c r="AV397" s="1"/>
  <c r="AG397"/>
  <c r="AH397" s="1"/>
  <c r="AE397"/>
  <c r="AF397" s="1"/>
  <c r="AL397"/>
  <c r="AK397"/>
  <c r="O397"/>
  <c r="P397" s="1"/>
  <c r="N397"/>
  <c r="Q397" s="1"/>
  <c r="R397" s="1"/>
  <c r="AW396"/>
  <c r="AX396" s="1"/>
  <c r="AU396"/>
  <c r="AV396" s="1"/>
  <c r="AG396"/>
  <c r="AH396" s="1"/>
  <c r="AE396"/>
  <c r="AF396" s="1"/>
  <c r="AL396"/>
  <c r="AK396"/>
  <c r="O396"/>
  <c r="P396" s="1"/>
  <c r="N396"/>
  <c r="Q396" s="1"/>
  <c r="AU395"/>
  <c r="AV395" s="1"/>
  <c r="AT395"/>
  <c r="AW395" s="1"/>
  <c r="AX395" s="1"/>
  <c r="AG395"/>
  <c r="AH395" s="1"/>
  <c r="AE395"/>
  <c r="AF395" s="1"/>
  <c r="AL395"/>
  <c r="AK395"/>
  <c r="O395"/>
  <c r="P395" s="1"/>
  <c r="N395"/>
  <c r="Q395" s="1"/>
  <c r="AW394"/>
  <c r="AX394" s="1"/>
  <c r="AU394"/>
  <c r="AV394" s="1"/>
  <c r="AG394"/>
  <c r="AH394" s="1"/>
  <c r="AE394"/>
  <c r="AF394" s="1"/>
  <c r="AL394"/>
  <c r="AK394"/>
  <c r="O394"/>
  <c r="P394" s="1"/>
  <c r="N394"/>
  <c r="Q394" s="1"/>
  <c r="R394" s="1"/>
  <c r="AW393"/>
  <c r="AX393" s="1"/>
  <c r="AU393"/>
  <c r="AV393" s="1"/>
  <c r="AG393"/>
  <c r="AH393" s="1"/>
  <c r="AE393"/>
  <c r="AF393" s="1"/>
  <c r="AL393"/>
  <c r="AK393"/>
  <c r="Q393"/>
  <c r="R393" s="1"/>
  <c r="AZ393" s="1"/>
  <c r="O393"/>
  <c r="P393" s="1"/>
  <c r="AY393" s="1"/>
  <c r="AW392"/>
  <c r="AX392" s="1"/>
  <c r="AU392"/>
  <c r="AV392" s="1"/>
  <c r="AG392"/>
  <c r="AH392" s="1"/>
  <c r="AE392"/>
  <c r="AF392" s="1"/>
  <c r="AL392"/>
  <c r="AK392"/>
  <c r="Q392"/>
  <c r="R392" s="1"/>
  <c r="AZ392" s="1"/>
  <c r="O392"/>
  <c r="P392" s="1"/>
  <c r="AY392" s="1"/>
  <c r="AW391"/>
  <c r="AX391" s="1"/>
  <c r="AU391"/>
  <c r="AV391" s="1"/>
  <c r="AG391"/>
  <c r="AH391" s="1"/>
  <c r="AE391"/>
  <c r="AF391" s="1"/>
  <c r="AL391"/>
  <c r="AK391"/>
  <c r="Q391"/>
  <c r="R391" s="1"/>
  <c r="AZ391" s="1"/>
  <c r="O391"/>
  <c r="P391" s="1"/>
  <c r="AY391" s="1"/>
  <c r="AW390"/>
  <c r="AX390" s="1"/>
  <c r="AU390"/>
  <c r="AV390" s="1"/>
  <c r="AG390"/>
  <c r="AH390" s="1"/>
  <c r="AE390"/>
  <c r="AF390" s="1"/>
  <c r="AL390"/>
  <c r="AK390"/>
  <c r="Q390"/>
  <c r="R390" s="1"/>
  <c r="AZ390" s="1"/>
  <c r="O390"/>
  <c r="P390" s="1"/>
  <c r="AY390" s="1"/>
  <c r="AW389"/>
  <c r="AX389" s="1"/>
  <c r="AU389"/>
  <c r="AV389" s="1"/>
  <c r="AG389"/>
  <c r="AH389" s="1"/>
  <c r="AE389"/>
  <c r="AF389" s="1"/>
  <c r="AL389"/>
  <c r="AK389"/>
  <c r="Q389"/>
  <c r="R389" s="1"/>
  <c r="AZ389" s="1"/>
  <c r="O389"/>
  <c r="P389" s="1"/>
  <c r="AY389" s="1"/>
  <c r="AW388"/>
  <c r="AX388" s="1"/>
  <c r="AU388"/>
  <c r="AV388" s="1"/>
  <c r="AG388"/>
  <c r="AH388" s="1"/>
  <c r="AE388"/>
  <c r="AF388" s="1"/>
  <c r="AL388"/>
  <c r="AK388"/>
  <c r="Q388"/>
  <c r="R388" s="1"/>
  <c r="AZ388" s="1"/>
  <c r="O388"/>
  <c r="P388" s="1"/>
  <c r="AY388" s="1"/>
  <c r="AW387"/>
  <c r="AX387" s="1"/>
  <c r="AU387"/>
  <c r="AV387" s="1"/>
  <c r="AG387"/>
  <c r="AH387" s="1"/>
  <c r="AE387"/>
  <c r="AF387" s="1"/>
  <c r="AL387"/>
  <c r="AK387"/>
  <c r="Q387"/>
  <c r="R387" s="1"/>
  <c r="AZ387" s="1"/>
  <c r="O387"/>
  <c r="P387" s="1"/>
  <c r="AY387" s="1"/>
  <c r="AW386"/>
  <c r="AX386" s="1"/>
  <c r="AU386"/>
  <c r="AV386" s="1"/>
  <c r="AG386"/>
  <c r="AH386" s="1"/>
  <c r="AE386"/>
  <c r="AF386" s="1"/>
  <c r="AL386"/>
  <c r="AK386"/>
  <c r="Q386"/>
  <c r="R386" s="1"/>
  <c r="AZ386" s="1"/>
  <c r="O386"/>
  <c r="P386" s="1"/>
  <c r="AY386" s="1"/>
  <c r="AW385"/>
  <c r="AX385" s="1"/>
  <c r="AU385"/>
  <c r="AV385" s="1"/>
  <c r="AG385"/>
  <c r="AH385" s="1"/>
  <c r="AE385"/>
  <c r="AF385" s="1"/>
  <c r="AL385"/>
  <c r="AK385"/>
  <c r="Q385"/>
  <c r="R385" s="1"/>
  <c r="AZ385" s="1"/>
  <c r="O385"/>
  <c r="P385" s="1"/>
  <c r="AY385" s="1"/>
  <c r="AW384"/>
  <c r="AX384" s="1"/>
  <c r="AU384"/>
  <c r="AV384" s="1"/>
  <c r="AG384"/>
  <c r="AH384" s="1"/>
  <c r="AE384"/>
  <c r="AF384" s="1"/>
  <c r="AL384"/>
  <c r="AK384"/>
  <c r="Q384"/>
  <c r="R384" s="1"/>
  <c r="AZ384" s="1"/>
  <c r="O384"/>
  <c r="P384" s="1"/>
  <c r="AY384" s="1"/>
  <c r="AW383"/>
  <c r="AX383" s="1"/>
  <c r="AU383"/>
  <c r="AV383" s="1"/>
  <c r="AG383"/>
  <c r="AH383" s="1"/>
  <c r="AE383"/>
  <c r="AF383" s="1"/>
  <c r="AL383"/>
  <c r="AK383"/>
  <c r="Q383"/>
  <c r="R383" s="1"/>
  <c r="AZ383" s="1"/>
  <c r="O383"/>
  <c r="P383" s="1"/>
  <c r="AY383" s="1"/>
  <c r="AW382"/>
  <c r="AX382" s="1"/>
  <c r="AU382"/>
  <c r="AV382" s="1"/>
  <c r="AG382"/>
  <c r="AH382" s="1"/>
  <c r="AE382"/>
  <c r="AF382" s="1"/>
  <c r="AL382"/>
  <c r="AK382"/>
  <c r="Q382"/>
  <c r="R382" s="1"/>
  <c r="AZ382" s="1"/>
  <c r="O382"/>
  <c r="P382" s="1"/>
  <c r="AY382" s="1"/>
  <c r="AW381"/>
  <c r="AX381" s="1"/>
  <c r="AU381"/>
  <c r="AV381" s="1"/>
  <c r="AG381"/>
  <c r="AH381" s="1"/>
  <c r="AE381"/>
  <c r="AF381" s="1"/>
  <c r="AL381"/>
  <c r="AK381"/>
  <c r="Q381"/>
  <c r="R381" s="1"/>
  <c r="AZ381" s="1"/>
  <c r="O381"/>
  <c r="P381" s="1"/>
  <c r="AY381" s="1"/>
  <c r="AW380"/>
  <c r="AX380" s="1"/>
  <c r="AU380"/>
  <c r="AV380" s="1"/>
  <c r="AG380"/>
  <c r="AH380" s="1"/>
  <c r="AE380"/>
  <c r="AF380" s="1"/>
  <c r="AL380"/>
  <c r="AK380"/>
  <c r="Q380"/>
  <c r="R380" s="1"/>
  <c r="AZ380" s="1"/>
  <c r="O380"/>
  <c r="P380" s="1"/>
  <c r="AY380" s="1"/>
  <c r="AW379"/>
  <c r="AX379" s="1"/>
  <c r="AU379"/>
  <c r="AV379" s="1"/>
  <c r="AG379"/>
  <c r="AH379" s="1"/>
  <c r="AE379"/>
  <c r="AF379" s="1"/>
  <c r="AL379"/>
  <c r="AK379"/>
  <c r="Q379"/>
  <c r="R379" s="1"/>
  <c r="AZ379" s="1"/>
  <c r="O379"/>
  <c r="P379" s="1"/>
  <c r="AY379" s="1"/>
  <c r="U379"/>
  <c r="AW378"/>
  <c r="AX378" s="1"/>
  <c r="AU378"/>
  <c r="AV378" s="1"/>
  <c r="AG378"/>
  <c r="AH378" s="1"/>
  <c r="AE378"/>
  <c r="AF378" s="1"/>
  <c r="AL378"/>
  <c r="AK378"/>
  <c r="Q378"/>
  <c r="R378" s="1"/>
  <c r="AZ378" s="1"/>
  <c r="O378"/>
  <c r="P378" s="1"/>
  <c r="AY378" s="1"/>
  <c r="AW377"/>
  <c r="AX377" s="1"/>
  <c r="AU377"/>
  <c r="AV377" s="1"/>
  <c r="AG377"/>
  <c r="AH377" s="1"/>
  <c r="AE377"/>
  <c r="AF377" s="1"/>
  <c r="AL377"/>
  <c r="AK377"/>
  <c r="Q377"/>
  <c r="R377" s="1"/>
  <c r="AZ377" s="1"/>
  <c r="O377"/>
  <c r="P377" s="1"/>
  <c r="AY377" s="1"/>
  <c r="AW376"/>
  <c r="AX376" s="1"/>
  <c r="AU376"/>
  <c r="AV376" s="1"/>
  <c r="AG376"/>
  <c r="AH376" s="1"/>
  <c r="AE376"/>
  <c r="AF376" s="1"/>
  <c r="AL376"/>
  <c r="AK376"/>
  <c r="Q376"/>
  <c r="R376" s="1"/>
  <c r="AZ376" s="1"/>
  <c r="O376"/>
  <c r="P376" s="1"/>
  <c r="AY376" s="1"/>
  <c r="AW375"/>
  <c r="AX375" s="1"/>
  <c r="AU375"/>
  <c r="AV375" s="1"/>
  <c r="AG375"/>
  <c r="AH375" s="1"/>
  <c r="AE375"/>
  <c r="AF375" s="1"/>
  <c r="AL375"/>
  <c r="AK375"/>
  <c r="Q375"/>
  <c r="R375" s="1"/>
  <c r="AZ375" s="1"/>
  <c r="O375"/>
  <c r="P375" s="1"/>
  <c r="AY375" s="1"/>
  <c r="AW374"/>
  <c r="AX374" s="1"/>
  <c r="AU374"/>
  <c r="AV374" s="1"/>
  <c r="AG374"/>
  <c r="AH374" s="1"/>
  <c r="AE374"/>
  <c r="AF374" s="1"/>
  <c r="AL374"/>
  <c r="AK374"/>
  <c r="Q374"/>
  <c r="R374" s="1"/>
  <c r="AZ374" s="1"/>
  <c r="O374"/>
  <c r="P374" s="1"/>
  <c r="AY374" s="1"/>
  <c r="AW373"/>
  <c r="AX373" s="1"/>
  <c r="AU373"/>
  <c r="AV373" s="1"/>
  <c r="AG373"/>
  <c r="AH373" s="1"/>
  <c r="AE373"/>
  <c r="AF373" s="1"/>
  <c r="AL373"/>
  <c r="AK373"/>
  <c r="Q373"/>
  <c r="R373" s="1"/>
  <c r="AZ373" s="1"/>
  <c r="O373"/>
  <c r="P373" s="1"/>
  <c r="AY373" s="1"/>
  <c r="AW372"/>
  <c r="AX372" s="1"/>
  <c r="AU372"/>
  <c r="AV372" s="1"/>
  <c r="AG372"/>
  <c r="AH372" s="1"/>
  <c r="AE372"/>
  <c r="AF372" s="1"/>
  <c r="AL372"/>
  <c r="AK372"/>
  <c r="Q372"/>
  <c r="O372"/>
  <c r="P372" s="1"/>
  <c r="AY372" s="1"/>
  <c r="AW371"/>
  <c r="AX371" s="1"/>
  <c r="AU371"/>
  <c r="AV371" s="1"/>
  <c r="AG371"/>
  <c r="AH371" s="1"/>
  <c r="AE371"/>
  <c r="AF371" s="1"/>
  <c r="AL371"/>
  <c r="AK371"/>
  <c r="Q371"/>
  <c r="O371"/>
  <c r="P371" s="1"/>
  <c r="AY371" s="1"/>
  <c r="AW370"/>
  <c r="AX370" s="1"/>
  <c r="AU370"/>
  <c r="AV370" s="1"/>
  <c r="AG370"/>
  <c r="AH370" s="1"/>
  <c r="AE370"/>
  <c r="AF370" s="1"/>
  <c r="AL370"/>
  <c r="AK370"/>
  <c r="Q370"/>
  <c r="O370"/>
  <c r="P370" s="1"/>
  <c r="AY370" s="1"/>
  <c r="AW369"/>
  <c r="AX369" s="1"/>
  <c r="AU369"/>
  <c r="AV369" s="1"/>
  <c r="AG369"/>
  <c r="AH369" s="1"/>
  <c r="AE369"/>
  <c r="AF369" s="1"/>
  <c r="AL369"/>
  <c r="AK369"/>
  <c r="Q369"/>
  <c r="O369"/>
  <c r="P369" s="1"/>
  <c r="AY369" s="1"/>
  <c r="AW368"/>
  <c r="AX368" s="1"/>
  <c r="AU368"/>
  <c r="AV368" s="1"/>
  <c r="AG368"/>
  <c r="AH368" s="1"/>
  <c r="AE368"/>
  <c r="AF368" s="1"/>
  <c r="AL368"/>
  <c r="AK368"/>
  <c r="Q368"/>
  <c r="O368"/>
  <c r="P368" s="1"/>
  <c r="AY368" s="1"/>
  <c r="AW367"/>
  <c r="AX367" s="1"/>
  <c r="AU367"/>
  <c r="AV367" s="1"/>
  <c r="AG367"/>
  <c r="AH367" s="1"/>
  <c r="AE367"/>
  <c r="AF367" s="1"/>
  <c r="AL367"/>
  <c r="AK367"/>
  <c r="Q367"/>
  <c r="O367"/>
  <c r="P367" s="1"/>
  <c r="AY367" s="1"/>
  <c r="AW366"/>
  <c r="AX366" s="1"/>
  <c r="AU366"/>
  <c r="AV366" s="1"/>
  <c r="AG366"/>
  <c r="AH366" s="1"/>
  <c r="AE366"/>
  <c r="AF366" s="1"/>
  <c r="AL366"/>
  <c r="AK366"/>
  <c r="Q366"/>
  <c r="O366"/>
  <c r="P366" s="1"/>
  <c r="AY366" s="1"/>
  <c r="AW365"/>
  <c r="AX365" s="1"/>
  <c r="AU365"/>
  <c r="AV365" s="1"/>
  <c r="AG365"/>
  <c r="AH365" s="1"/>
  <c r="AE365"/>
  <c r="AF365" s="1"/>
  <c r="AL365"/>
  <c r="AK365"/>
  <c r="Q365"/>
  <c r="O365"/>
  <c r="P365" s="1"/>
  <c r="AY365" s="1"/>
  <c r="AW364"/>
  <c r="AX364" s="1"/>
  <c r="AU364"/>
  <c r="AV364" s="1"/>
  <c r="AG364"/>
  <c r="AH364" s="1"/>
  <c r="AE364"/>
  <c r="AF364" s="1"/>
  <c r="AL364"/>
  <c r="AK364"/>
  <c r="Q364"/>
  <c r="O364"/>
  <c r="P364" s="1"/>
  <c r="AY364" s="1"/>
  <c r="AW363"/>
  <c r="AX363" s="1"/>
  <c r="AU363"/>
  <c r="AV363" s="1"/>
  <c r="AG363"/>
  <c r="AH363" s="1"/>
  <c r="AE363"/>
  <c r="AF363" s="1"/>
  <c r="AL363"/>
  <c r="AK363"/>
  <c r="Q363"/>
  <c r="O363"/>
  <c r="P363" s="1"/>
  <c r="AY363" s="1"/>
  <c r="AW362"/>
  <c r="AX362" s="1"/>
  <c r="AU362"/>
  <c r="AV362" s="1"/>
  <c r="AG362"/>
  <c r="AH362" s="1"/>
  <c r="AE362"/>
  <c r="AF362" s="1"/>
  <c r="AL362"/>
  <c r="AK362"/>
  <c r="Q362"/>
  <c r="O362"/>
  <c r="P362" s="1"/>
  <c r="AY362" s="1"/>
  <c r="AW361"/>
  <c r="AX361" s="1"/>
  <c r="AU361"/>
  <c r="AV361" s="1"/>
  <c r="AG361"/>
  <c r="AH361" s="1"/>
  <c r="AE361"/>
  <c r="AF361" s="1"/>
  <c r="AL361"/>
  <c r="AK361"/>
  <c r="Q361"/>
  <c r="O361"/>
  <c r="P361" s="1"/>
  <c r="AY361" s="1"/>
  <c r="AW360"/>
  <c r="AX360" s="1"/>
  <c r="AU360"/>
  <c r="AV360" s="1"/>
  <c r="AG360"/>
  <c r="AH360" s="1"/>
  <c r="AE360"/>
  <c r="AF360" s="1"/>
  <c r="AL360"/>
  <c r="AK360"/>
  <c r="Q360"/>
  <c r="R360" s="1"/>
  <c r="AZ360" s="1"/>
  <c r="O360"/>
  <c r="P360" s="1"/>
  <c r="AY360" s="1"/>
  <c r="AW359"/>
  <c r="AX359" s="1"/>
  <c r="AU359"/>
  <c r="AV359" s="1"/>
  <c r="AG359"/>
  <c r="AH359" s="1"/>
  <c r="AE359"/>
  <c r="AF359" s="1"/>
  <c r="AL359"/>
  <c r="AK359"/>
  <c r="Q359"/>
  <c r="R359" s="1"/>
  <c r="AZ359" s="1"/>
  <c r="O359"/>
  <c r="P359" s="1"/>
  <c r="AY359" s="1"/>
  <c r="AW358"/>
  <c r="AX358" s="1"/>
  <c r="AU358"/>
  <c r="AV358" s="1"/>
  <c r="AG358"/>
  <c r="AH358" s="1"/>
  <c r="AE358"/>
  <c r="AF358" s="1"/>
  <c r="AL358"/>
  <c r="AK358"/>
  <c r="Q358"/>
  <c r="R358" s="1"/>
  <c r="AZ358" s="1"/>
  <c r="O358"/>
  <c r="P358" s="1"/>
  <c r="AY358" s="1"/>
  <c r="AW357"/>
  <c r="AX357" s="1"/>
  <c r="AU357"/>
  <c r="AV357" s="1"/>
  <c r="AG357"/>
  <c r="AH357" s="1"/>
  <c r="AE357"/>
  <c r="AF357" s="1"/>
  <c r="AL357"/>
  <c r="AK357"/>
  <c r="Q357"/>
  <c r="R357" s="1"/>
  <c r="AZ357" s="1"/>
  <c r="O357"/>
  <c r="P357" s="1"/>
  <c r="AY357" s="1"/>
  <c r="AW356"/>
  <c r="AX356" s="1"/>
  <c r="AU356"/>
  <c r="AV356" s="1"/>
  <c r="AG356"/>
  <c r="AH356" s="1"/>
  <c r="AE356"/>
  <c r="AF356" s="1"/>
  <c r="AL356"/>
  <c r="AK356"/>
  <c r="Q356"/>
  <c r="R356" s="1"/>
  <c r="AZ356" s="1"/>
  <c r="O356"/>
  <c r="P356" s="1"/>
  <c r="AY356" s="1"/>
  <c r="AW355"/>
  <c r="AX355" s="1"/>
  <c r="AU355"/>
  <c r="AV355" s="1"/>
  <c r="AG355"/>
  <c r="AH355" s="1"/>
  <c r="AE355"/>
  <c r="AF355" s="1"/>
  <c r="AL355"/>
  <c r="AK355"/>
  <c r="Q355"/>
  <c r="R355" s="1"/>
  <c r="AZ355" s="1"/>
  <c r="O355"/>
  <c r="P355" s="1"/>
  <c r="AY355" s="1"/>
  <c r="AW354"/>
  <c r="AX354" s="1"/>
  <c r="AU354"/>
  <c r="AV354" s="1"/>
  <c r="AG354"/>
  <c r="AH354" s="1"/>
  <c r="AE354"/>
  <c r="AF354" s="1"/>
  <c r="AL354"/>
  <c r="AK354"/>
  <c r="Q354"/>
  <c r="R354" s="1"/>
  <c r="AZ354" s="1"/>
  <c r="O354"/>
  <c r="P354" s="1"/>
  <c r="AY354" s="1"/>
  <c r="AW353"/>
  <c r="AX353" s="1"/>
  <c r="AU353"/>
  <c r="AV353" s="1"/>
  <c r="AG353"/>
  <c r="AH353" s="1"/>
  <c r="AE353"/>
  <c r="AF353" s="1"/>
  <c r="AL353"/>
  <c r="AK353"/>
  <c r="Q353"/>
  <c r="R353" s="1"/>
  <c r="AZ353" s="1"/>
  <c r="O353"/>
  <c r="P353" s="1"/>
  <c r="AY353" s="1"/>
  <c r="AW352"/>
  <c r="AX352" s="1"/>
  <c r="AU352"/>
  <c r="AV352" s="1"/>
  <c r="AG352"/>
  <c r="AH352" s="1"/>
  <c r="AE352"/>
  <c r="AF352" s="1"/>
  <c r="AL352"/>
  <c r="AK352"/>
  <c r="Q352"/>
  <c r="R352" s="1"/>
  <c r="AZ352" s="1"/>
  <c r="O352"/>
  <c r="P352" s="1"/>
  <c r="AY352" s="1"/>
  <c r="AW351"/>
  <c r="AX351" s="1"/>
  <c r="AU351"/>
  <c r="AV351" s="1"/>
  <c r="AG351"/>
  <c r="AH351" s="1"/>
  <c r="AE351"/>
  <c r="AF351" s="1"/>
  <c r="AL351"/>
  <c r="AK351"/>
  <c r="Q351"/>
  <c r="R351" s="1"/>
  <c r="AZ351" s="1"/>
  <c r="O351"/>
  <c r="P351" s="1"/>
  <c r="AY351" s="1"/>
  <c r="AW350"/>
  <c r="AX350" s="1"/>
  <c r="AU350"/>
  <c r="AV350" s="1"/>
  <c r="AG350"/>
  <c r="AH350" s="1"/>
  <c r="AE350"/>
  <c r="AF350" s="1"/>
  <c r="AL350"/>
  <c r="AK350"/>
  <c r="Q350"/>
  <c r="R350" s="1"/>
  <c r="AZ350" s="1"/>
  <c r="O350"/>
  <c r="P350" s="1"/>
  <c r="AY350" s="1"/>
  <c r="AW349"/>
  <c r="AX349" s="1"/>
  <c r="AU349"/>
  <c r="AV349" s="1"/>
  <c r="AG349"/>
  <c r="AH349" s="1"/>
  <c r="AE349"/>
  <c r="AF349" s="1"/>
  <c r="AL349"/>
  <c r="AK349"/>
  <c r="Q349"/>
  <c r="R349" s="1"/>
  <c r="AZ349" s="1"/>
  <c r="O349"/>
  <c r="P349" s="1"/>
  <c r="AY349" s="1"/>
  <c r="AW348"/>
  <c r="AX348" s="1"/>
  <c r="AU348"/>
  <c r="AV348" s="1"/>
  <c r="AG348"/>
  <c r="AH348" s="1"/>
  <c r="AE348"/>
  <c r="AF348" s="1"/>
  <c r="AL348"/>
  <c r="AK348"/>
  <c r="Q348"/>
  <c r="R348" s="1"/>
  <c r="AZ348" s="1"/>
  <c r="O348"/>
  <c r="P348" s="1"/>
  <c r="AY348" s="1"/>
  <c r="AW347"/>
  <c r="AX347" s="1"/>
  <c r="AU347"/>
  <c r="AV347" s="1"/>
  <c r="AG347"/>
  <c r="AH347" s="1"/>
  <c r="AE347"/>
  <c r="AF347" s="1"/>
  <c r="AL347"/>
  <c r="AK347"/>
  <c r="Q347"/>
  <c r="R347" s="1"/>
  <c r="AZ347" s="1"/>
  <c r="O347"/>
  <c r="P347" s="1"/>
  <c r="AY347" s="1"/>
  <c r="AW346"/>
  <c r="AX346" s="1"/>
  <c r="AU346"/>
  <c r="AV346" s="1"/>
  <c r="AG346"/>
  <c r="AH346" s="1"/>
  <c r="AE346"/>
  <c r="AF346" s="1"/>
  <c r="AL346"/>
  <c r="AK346"/>
  <c r="Q346"/>
  <c r="R346" s="1"/>
  <c r="AZ346" s="1"/>
  <c r="O346"/>
  <c r="P346" s="1"/>
  <c r="AY346" s="1"/>
  <c r="AW345"/>
  <c r="AX345" s="1"/>
  <c r="AU345"/>
  <c r="AV345" s="1"/>
  <c r="AG345"/>
  <c r="AH345" s="1"/>
  <c r="AE345"/>
  <c r="AF345" s="1"/>
  <c r="AL345"/>
  <c r="AK345"/>
  <c r="Q345"/>
  <c r="R345" s="1"/>
  <c r="AZ345" s="1"/>
  <c r="O345"/>
  <c r="P345" s="1"/>
  <c r="AY345" s="1"/>
  <c r="AW344"/>
  <c r="AX344" s="1"/>
  <c r="AU344"/>
  <c r="AV344" s="1"/>
  <c r="AG344"/>
  <c r="AH344" s="1"/>
  <c r="AE344"/>
  <c r="AF344" s="1"/>
  <c r="AL344"/>
  <c r="AK344"/>
  <c r="Q344"/>
  <c r="R344" s="1"/>
  <c r="AZ344" s="1"/>
  <c r="O344"/>
  <c r="P344" s="1"/>
  <c r="AY344" s="1"/>
  <c r="AW343"/>
  <c r="AX343" s="1"/>
  <c r="AU343"/>
  <c r="AV343" s="1"/>
  <c r="AG343"/>
  <c r="AH343" s="1"/>
  <c r="AE343"/>
  <c r="AF343" s="1"/>
  <c r="AL343"/>
  <c r="AK343"/>
  <c r="Q343"/>
  <c r="R343" s="1"/>
  <c r="AZ343" s="1"/>
  <c r="O343"/>
  <c r="P343" s="1"/>
  <c r="AY343" s="1"/>
  <c r="AW342"/>
  <c r="AX342" s="1"/>
  <c r="AU342"/>
  <c r="AV342" s="1"/>
  <c r="AG342"/>
  <c r="AH342" s="1"/>
  <c r="AE342"/>
  <c r="AF342" s="1"/>
  <c r="AL342"/>
  <c r="AK342"/>
  <c r="Q342"/>
  <c r="R342" s="1"/>
  <c r="AZ342" s="1"/>
  <c r="O342"/>
  <c r="P342" s="1"/>
  <c r="AY342" s="1"/>
  <c r="AW341"/>
  <c r="AX341" s="1"/>
  <c r="AU341"/>
  <c r="AV341" s="1"/>
  <c r="AG341"/>
  <c r="AH341" s="1"/>
  <c r="AE341"/>
  <c r="AF341" s="1"/>
  <c r="AL341"/>
  <c r="AK341"/>
  <c r="Q341"/>
  <c r="R341" s="1"/>
  <c r="AZ341" s="1"/>
  <c r="O341"/>
  <c r="P341" s="1"/>
  <c r="AY341" s="1"/>
  <c r="AW340"/>
  <c r="AX340" s="1"/>
  <c r="AU340"/>
  <c r="AV340" s="1"/>
  <c r="AG340"/>
  <c r="AH340" s="1"/>
  <c r="AE340"/>
  <c r="AF340" s="1"/>
  <c r="AL340"/>
  <c r="AK340"/>
  <c r="Q340"/>
  <c r="R340" s="1"/>
  <c r="AZ340" s="1"/>
  <c r="O340"/>
  <c r="P340" s="1"/>
  <c r="AY340" s="1"/>
  <c r="AW339"/>
  <c r="AX339" s="1"/>
  <c r="AU339"/>
  <c r="AV339" s="1"/>
  <c r="AG339"/>
  <c r="AH339" s="1"/>
  <c r="AE339"/>
  <c r="AF339" s="1"/>
  <c r="AL339"/>
  <c r="AK339"/>
  <c r="Q339"/>
  <c r="R339" s="1"/>
  <c r="AZ339" s="1"/>
  <c r="O339"/>
  <c r="P339" s="1"/>
  <c r="AY339" s="1"/>
  <c r="AW338"/>
  <c r="AX338" s="1"/>
  <c r="AU338"/>
  <c r="AV338" s="1"/>
  <c r="AG338"/>
  <c r="AH338" s="1"/>
  <c r="AE338"/>
  <c r="AF338" s="1"/>
  <c r="AL338"/>
  <c r="AK338"/>
  <c r="Q338"/>
  <c r="R338" s="1"/>
  <c r="AZ338" s="1"/>
  <c r="O338"/>
  <c r="P338" s="1"/>
  <c r="AY338" s="1"/>
  <c r="AW337"/>
  <c r="AX337" s="1"/>
  <c r="AU337"/>
  <c r="AV337" s="1"/>
  <c r="AG337"/>
  <c r="AH337" s="1"/>
  <c r="AE337"/>
  <c r="AF337" s="1"/>
  <c r="AL337"/>
  <c r="AK337"/>
  <c r="Q337"/>
  <c r="R337" s="1"/>
  <c r="AZ337" s="1"/>
  <c r="O337"/>
  <c r="P337" s="1"/>
  <c r="AY337" s="1"/>
  <c r="AW336"/>
  <c r="AX336" s="1"/>
  <c r="AU336"/>
  <c r="AV336" s="1"/>
  <c r="AG336"/>
  <c r="AH336" s="1"/>
  <c r="AE336"/>
  <c r="AF336" s="1"/>
  <c r="AL336"/>
  <c r="AK336"/>
  <c r="Q336"/>
  <c r="R336" s="1"/>
  <c r="AZ336" s="1"/>
  <c r="O336"/>
  <c r="P336" s="1"/>
  <c r="AY336" s="1"/>
  <c r="AW335"/>
  <c r="AX335" s="1"/>
  <c r="AU335"/>
  <c r="AV335" s="1"/>
  <c r="AG335"/>
  <c r="AH335" s="1"/>
  <c r="AE335"/>
  <c r="AF335" s="1"/>
  <c r="AL335"/>
  <c r="AK335"/>
  <c r="Q335"/>
  <c r="R335" s="1"/>
  <c r="AZ335" s="1"/>
  <c r="O335"/>
  <c r="P335" s="1"/>
  <c r="AY335" s="1"/>
  <c r="AW334"/>
  <c r="AX334" s="1"/>
  <c r="AU334"/>
  <c r="AV334" s="1"/>
  <c r="AG334"/>
  <c r="AH334" s="1"/>
  <c r="AE334"/>
  <c r="AF334" s="1"/>
  <c r="AL334"/>
  <c r="AK334"/>
  <c r="Q334"/>
  <c r="R334" s="1"/>
  <c r="AZ334" s="1"/>
  <c r="O334"/>
  <c r="P334" s="1"/>
  <c r="AY334" s="1"/>
  <c r="AW333"/>
  <c r="AX333" s="1"/>
  <c r="AU333"/>
  <c r="AV333" s="1"/>
  <c r="AG333"/>
  <c r="AH333" s="1"/>
  <c r="AE333"/>
  <c r="AF333" s="1"/>
  <c r="AL333"/>
  <c r="AK333"/>
  <c r="Q333"/>
  <c r="R333" s="1"/>
  <c r="AZ333" s="1"/>
  <c r="O333"/>
  <c r="P333" s="1"/>
  <c r="AY333" s="1"/>
  <c r="AW332"/>
  <c r="AX332" s="1"/>
  <c r="AU332"/>
  <c r="AV332" s="1"/>
  <c r="AG332"/>
  <c r="AH332" s="1"/>
  <c r="AE332"/>
  <c r="AF332" s="1"/>
  <c r="AL332"/>
  <c r="AK332"/>
  <c r="Q332"/>
  <c r="R332" s="1"/>
  <c r="AZ332" s="1"/>
  <c r="O332"/>
  <c r="P332" s="1"/>
  <c r="AY332" s="1"/>
  <c r="AW331"/>
  <c r="AX331" s="1"/>
  <c r="AU331"/>
  <c r="AV331" s="1"/>
  <c r="AG331"/>
  <c r="AH331" s="1"/>
  <c r="AE331"/>
  <c r="AF331" s="1"/>
  <c r="AL331"/>
  <c r="AK331"/>
  <c r="Q331"/>
  <c r="R331" s="1"/>
  <c r="AZ331" s="1"/>
  <c r="O331"/>
  <c r="P331" s="1"/>
  <c r="AY331" s="1"/>
  <c r="AW330"/>
  <c r="AX330" s="1"/>
  <c r="AU330"/>
  <c r="AV330" s="1"/>
  <c r="AG330"/>
  <c r="AH330" s="1"/>
  <c r="AE330"/>
  <c r="AF330" s="1"/>
  <c r="AL330"/>
  <c r="AK330"/>
  <c r="Q330"/>
  <c r="R330" s="1"/>
  <c r="AZ330" s="1"/>
  <c r="O330"/>
  <c r="P330" s="1"/>
  <c r="AY330" s="1"/>
  <c r="AW329"/>
  <c r="AX329" s="1"/>
  <c r="AU329"/>
  <c r="AV329" s="1"/>
  <c r="AG329"/>
  <c r="AH329" s="1"/>
  <c r="AE329"/>
  <c r="AF329" s="1"/>
  <c r="AL329"/>
  <c r="AK329"/>
  <c r="Q329"/>
  <c r="R329" s="1"/>
  <c r="AZ329" s="1"/>
  <c r="O329"/>
  <c r="P329" s="1"/>
  <c r="AY329" s="1"/>
  <c r="AW328"/>
  <c r="AX328" s="1"/>
  <c r="AU328"/>
  <c r="AV328" s="1"/>
  <c r="AG328"/>
  <c r="AH328" s="1"/>
  <c r="AE328"/>
  <c r="AF328" s="1"/>
  <c r="AL328"/>
  <c r="AK328"/>
  <c r="Q328"/>
  <c r="R328" s="1"/>
  <c r="AZ328" s="1"/>
  <c r="O328"/>
  <c r="P328" s="1"/>
  <c r="AY328" s="1"/>
  <c r="AW327"/>
  <c r="AX327" s="1"/>
  <c r="AU327"/>
  <c r="AV327" s="1"/>
  <c r="AG327"/>
  <c r="AH327" s="1"/>
  <c r="AE327"/>
  <c r="AF327" s="1"/>
  <c r="AL327"/>
  <c r="AK327"/>
  <c r="Q327"/>
  <c r="R327" s="1"/>
  <c r="AZ327" s="1"/>
  <c r="O327"/>
  <c r="P327" s="1"/>
  <c r="AY327" s="1"/>
  <c r="AW326"/>
  <c r="AX326" s="1"/>
  <c r="AU326"/>
  <c r="AV326" s="1"/>
  <c r="AG326"/>
  <c r="AH326" s="1"/>
  <c r="AE326"/>
  <c r="AF326" s="1"/>
  <c r="AL326"/>
  <c r="AK326"/>
  <c r="Q326"/>
  <c r="R326" s="1"/>
  <c r="AZ326" s="1"/>
  <c r="O326"/>
  <c r="P326" s="1"/>
  <c r="AY326" s="1"/>
  <c r="AW325"/>
  <c r="AX325" s="1"/>
  <c r="AU325"/>
  <c r="AV325" s="1"/>
  <c r="AG325"/>
  <c r="AH325" s="1"/>
  <c r="AE325"/>
  <c r="AF325" s="1"/>
  <c r="AL325"/>
  <c r="AK325"/>
  <c r="Q325"/>
  <c r="R325" s="1"/>
  <c r="AZ325" s="1"/>
  <c r="O325"/>
  <c r="P325" s="1"/>
  <c r="AY325" s="1"/>
  <c r="AW324"/>
  <c r="AX324" s="1"/>
  <c r="AU324"/>
  <c r="AV324" s="1"/>
  <c r="Q324"/>
  <c r="R324" s="1"/>
  <c r="AZ324" s="1"/>
  <c r="O324"/>
  <c r="P324" s="1"/>
  <c r="AY324" s="1"/>
  <c r="AW323"/>
  <c r="AX323" s="1"/>
  <c r="AU323"/>
  <c r="AV323" s="1"/>
  <c r="Q323"/>
  <c r="R323" s="1"/>
  <c r="AZ323" s="1"/>
  <c r="O323"/>
  <c r="P323" s="1"/>
  <c r="AY323" s="1"/>
  <c r="AW322"/>
  <c r="AX322" s="1"/>
  <c r="AU322"/>
  <c r="AV322" s="1"/>
  <c r="AZ322"/>
  <c r="AY322"/>
  <c r="AW321"/>
  <c r="AX321" s="1"/>
  <c r="AU321"/>
  <c r="AV321" s="1"/>
  <c r="AZ321"/>
  <c r="AY321"/>
  <c r="AW304"/>
  <c r="AX304" s="1"/>
  <c r="AU304"/>
  <c r="AV304" s="1"/>
  <c r="AG304"/>
  <c r="AH304" s="1"/>
  <c r="AE304"/>
  <c r="AF304" s="1"/>
  <c r="AL304"/>
  <c r="AK304"/>
  <c r="Q304"/>
  <c r="R304" s="1"/>
  <c r="AZ304" s="1"/>
  <c r="O304"/>
  <c r="P304" s="1"/>
  <c r="AY304" s="1"/>
  <c r="V304"/>
  <c r="U304"/>
  <c r="AW303"/>
  <c r="AX303" s="1"/>
  <c r="AU303"/>
  <c r="AV303" s="1"/>
  <c r="AG303"/>
  <c r="AH303" s="1"/>
  <c r="AE303"/>
  <c r="AF303" s="1"/>
  <c r="AL303"/>
  <c r="AK303"/>
  <c r="Q303"/>
  <c r="R303" s="1"/>
  <c r="AZ303" s="1"/>
  <c r="O303"/>
  <c r="P303" s="1"/>
  <c r="AY303" s="1"/>
  <c r="V303"/>
  <c r="U303"/>
  <c r="AW302"/>
  <c r="AX302" s="1"/>
  <c r="AU302"/>
  <c r="AV302" s="1"/>
  <c r="AG302"/>
  <c r="AH302" s="1"/>
  <c r="AE302"/>
  <c r="AF302" s="1"/>
  <c r="AL302"/>
  <c r="AK302"/>
  <c r="Q302"/>
  <c r="R302" s="1"/>
  <c r="AZ302" s="1"/>
  <c r="O302"/>
  <c r="P302" s="1"/>
  <c r="AY302" s="1"/>
  <c r="V302"/>
  <c r="U302"/>
  <c r="AW301"/>
  <c r="AX301" s="1"/>
  <c r="AU301"/>
  <c r="AV301" s="1"/>
  <c r="AG301"/>
  <c r="AH301" s="1"/>
  <c r="AE301"/>
  <c r="AF301" s="1"/>
  <c r="AL301"/>
  <c r="AK301"/>
  <c r="Q301"/>
  <c r="R301" s="1"/>
  <c r="AZ301" s="1"/>
  <c r="O301"/>
  <c r="P301" s="1"/>
  <c r="AY301" s="1"/>
  <c r="V301"/>
  <c r="U301"/>
  <c r="AW300"/>
  <c r="AX300" s="1"/>
  <c r="AU300"/>
  <c r="AV300" s="1"/>
  <c r="AG300"/>
  <c r="AH300" s="1"/>
  <c r="AE300"/>
  <c r="AF300" s="1"/>
  <c r="AL300"/>
  <c r="AK300"/>
  <c r="Q300"/>
  <c r="R300" s="1"/>
  <c r="AZ300" s="1"/>
  <c r="O300"/>
  <c r="P300" s="1"/>
  <c r="AY300" s="1"/>
  <c r="V300"/>
  <c r="U300"/>
  <c r="AW299"/>
  <c r="AX299" s="1"/>
  <c r="AU299"/>
  <c r="AV299" s="1"/>
  <c r="AG299"/>
  <c r="AH299" s="1"/>
  <c r="AE299"/>
  <c r="AF299" s="1"/>
  <c r="AL299"/>
  <c r="AK299"/>
  <c r="Q299"/>
  <c r="R299" s="1"/>
  <c r="AZ299" s="1"/>
  <c r="O299"/>
  <c r="P299" s="1"/>
  <c r="AY299" s="1"/>
  <c r="V299"/>
  <c r="U299"/>
  <c r="AW298"/>
  <c r="AX298" s="1"/>
  <c r="AU298"/>
  <c r="AV298" s="1"/>
  <c r="AG298"/>
  <c r="AH298" s="1"/>
  <c r="AE298"/>
  <c r="AF298" s="1"/>
  <c r="AL298"/>
  <c r="AK298"/>
  <c r="Q298"/>
  <c r="R298" s="1"/>
  <c r="AZ298" s="1"/>
  <c r="O298"/>
  <c r="P298" s="1"/>
  <c r="V298"/>
  <c r="U298"/>
  <c r="AW297"/>
  <c r="AX297" s="1"/>
  <c r="AU297"/>
  <c r="AV297" s="1"/>
  <c r="AG297"/>
  <c r="AH297" s="1"/>
  <c r="AE297"/>
  <c r="AF297" s="1"/>
  <c r="AL297"/>
  <c r="AK297"/>
  <c r="Q297"/>
  <c r="R297" s="1"/>
  <c r="AZ297" s="1"/>
  <c r="O297"/>
  <c r="P297" s="1"/>
  <c r="AY297" s="1"/>
  <c r="V297"/>
  <c r="U297"/>
  <c r="AW296"/>
  <c r="AX296" s="1"/>
  <c r="AU296"/>
  <c r="AV296" s="1"/>
  <c r="AG296"/>
  <c r="AH296" s="1"/>
  <c r="AE296"/>
  <c r="AF296" s="1"/>
  <c r="AL296"/>
  <c r="AK296"/>
  <c r="Q296"/>
  <c r="R296" s="1"/>
  <c r="AZ296" s="1"/>
  <c r="O296"/>
  <c r="P296" s="1"/>
  <c r="AY296" s="1"/>
  <c r="V296"/>
  <c r="U296"/>
  <c r="AW295"/>
  <c r="AX295" s="1"/>
  <c r="AU295"/>
  <c r="AV295" s="1"/>
  <c r="AG295"/>
  <c r="AH295" s="1"/>
  <c r="AE295"/>
  <c r="AF295" s="1"/>
  <c r="AL295"/>
  <c r="AK295"/>
  <c r="Q295"/>
  <c r="R295" s="1"/>
  <c r="AZ295" s="1"/>
  <c r="O295"/>
  <c r="P295" s="1"/>
  <c r="AY295" s="1"/>
  <c r="V295"/>
  <c r="U295"/>
  <c r="AW294"/>
  <c r="AX294" s="1"/>
  <c r="AU294"/>
  <c r="AV294" s="1"/>
  <c r="AG294"/>
  <c r="AH294" s="1"/>
  <c r="AE294"/>
  <c r="AF294" s="1"/>
  <c r="AL294"/>
  <c r="AK294"/>
  <c r="Q294"/>
  <c r="R294" s="1"/>
  <c r="AZ294" s="1"/>
  <c r="O294"/>
  <c r="P294" s="1"/>
  <c r="AY294" s="1"/>
  <c r="V294"/>
  <c r="U294"/>
  <c r="AW293"/>
  <c r="AX293" s="1"/>
  <c r="AU293"/>
  <c r="AV293" s="1"/>
  <c r="AG293"/>
  <c r="AH293" s="1"/>
  <c r="AE293"/>
  <c r="AF293" s="1"/>
  <c r="AL293"/>
  <c r="AK293"/>
  <c r="Q293"/>
  <c r="R293" s="1"/>
  <c r="O293"/>
  <c r="P293" s="1"/>
  <c r="V293"/>
  <c r="U293"/>
  <c r="AW292"/>
  <c r="AX292" s="1"/>
  <c r="AU292"/>
  <c r="AV292" s="1"/>
  <c r="AG292"/>
  <c r="AH292" s="1"/>
  <c r="AE292"/>
  <c r="AF292" s="1"/>
  <c r="AL292"/>
  <c r="AK292"/>
  <c r="Q292"/>
  <c r="R292" s="1"/>
  <c r="AZ292" s="1"/>
  <c r="O292"/>
  <c r="P292" s="1"/>
  <c r="AY292" s="1"/>
  <c r="V292"/>
  <c r="U292"/>
  <c r="AW291"/>
  <c r="AX291" s="1"/>
  <c r="AU291"/>
  <c r="AV291" s="1"/>
  <c r="AG291"/>
  <c r="AH291" s="1"/>
  <c r="AE291"/>
  <c r="AF291" s="1"/>
  <c r="AL291"/>
  <c r="AK291"/>
  <c r="Q291"/>
  <c r="R291" s="1"/>
  <c r="AZ291" s="1"/>
  <c r="O291"/>
  <c r="P291" s="1"/>
  <c r="AY291" s="1"/>
  <c r="V291"/>
  <c r="U291"/>
  <c r="AW290"/>
  <c r="AX290" s="1"/>
  <c r="AU290"/>
  <c r="AV290" s="1"/>
  <c r="AG290"/>
  <c r="AH290" s="1"/>
  <c r="AE290"/>
  <c r="AF290" s="1"/>
  <c r="AL290"/>
  <c r="AK290"/>
  <c r="Q290"/>
  <c r="R290" s="1"/>
  <c r="AZ290" s="1"/>
  <c r="O290"/>
  <c r="P290" s="1"/>
  <c r="AY290" s="1"/>
  <c r="V290"/>
  <c r="U290"/>
  <c r="AW289"/>
  <c r="AX289" s="1"/>
  <c r="AU289"/>
  <c r="AV289" s="1"/>
  <c r="AG289"/>
  <c r="AH289" s="1"/>
  <c r="AE289"/>
  <c r="AF289" s="1"/>
  <c r="AL289"/>
  <c r="AK289"/>
  <c r="Q289"/>
  <c r="R289" s="1"/>
  <c r="AZ289" s="1"/>
  <c r="O289"/>
  <c r="P289" s="1"/>
  <c r="AY289" s="1"/>
  <c r="V289"/>
  <c r="U289"/>
  <c r="AW288"/>
  <c r="AX288" s="1"/>
  <c r="AU288"/>
  <c r="AV288" s="1"/>
  <c r="AG288"/>
  <c r="AH288" s="1"/>
  <c r="AE288"/>
  <c r="AF288" s="1"/>
  <c r="AL288"/>
  <c r="AK288"/>
  <c r="Q288"/>
  <c r="R288" s="1"/>
  <c r="AZ288" s="1"/>
  <c r="O288"/>
  <c r="P288" s="1"/>
  <c r="AY288" s="1"/>
  <c r="V288"/>
  <c r="U288"/>
  <c r="AW287"/>
  <c r="AX287" s="1"/>
  <c r="AU287"/>
  <c r="AV287" s="1"/>
  <c r="AG287"/>
  <c r="AH287" s="1"/>
  <c r="AE287"/>
  <c r="AF287" s="1"/>
  <c r="AL287"/>
  <c r="AK287"/>
  <c r="Q287"/>
  <c r="R287" s="1"/>
  <c r="AZ287" s="1"/>
  <c r="O287"/>
  <c r="P287" s="1"/>
  <c r="AY287" s="1"/>
  <c r="V287"/>
  <c r="U287"/>
  <c r="AW286"/>
  <c r="AX286" s="1"/>
  <c r="AU286"/>
  <c r="AV286" s="1"/>
  <c r="AG286"/>
  <c r="AH286" s="1"/>
  <c r="AE286"/>
  <c r="AF286" s="1"/>
  <c r="AL286"/>
  <c r="AK286"/>
  <c r="Q286"/>
  <c r="R286" s="1"/>
  <c r="AZ286" s="1"/>
  <c r="O286"/>
  <c r="P286" s="1"/>
  <c r="AY286" s="1"/>
  <c r="V286"/>
  <c r="U286"/>
  <c r="AW285"/>
  <c r="AX285" s="1"/>
  <c r="AU285"/>
  <c r="AV285" s="1"/>
  <c r="AG285"/>
  <c r="AH285" s="1"/>
  <c r="AE285"/>
  <c r="AF285" s="1"/>
  <c r="AL285"/>
  <c r="AK285"/>
  <c r="Q285"/>
  <c r="R285" s="1"/>
  <c r="AZ285" s="1"/>
  <c r="O285"/>
  <c r="P285" s="1"/>
  <c r="AY285" s="1"/>
  <c r="V285"/>
  <c r="U285"/>
  <c r="AW284"/>
  <c r="AX284" s="1"/>
  <c r="AU284"/>
  <c r="AV284" s="1"/>
  <c r="AG284"/>
  <c r="AH284" s="1"/>
  <c r="AE284"/>
  <c r="AF284" s="1"/>
  <c r="AL284"/>
  <c r="AK284"/>
  <c r="Q284"/>
  <c r="R284" s="1"/>
  <c r="AZ284" s="1"/>
  <c r="O284"/>
  <c r="P284" s="1"/>
  <c r="AY284" s="1"/>
  <c r="V284"/>
  <c r="U284"/>
  <c r="AW283"/>
  <c r="AX283" s="1"/>
  <c r="AU283"/>
  <c r="AV283" s="1"/>
  <c r="AG283"/>
  <c r="AH283" s="1"/>
  <c r="AE283"/>
  <c r="AF283" s="1"/>
  <c r="AL283"/>
  <c r="AK283"/>
  <c r="Q283"/>
  <c r="R283" s="1"/>
  <c r="AZ283" s="1"/>
  <c r="O283"/>
  <c r="P283" s="1"/>
  <c r="AY283" s="1"/>
  <c r="V283"/>
  <c r="U283"/>
  <c r="AW282"/>
  <c r="AX282" s="1"/>
  <c r="AU282"/>
  <c r="AV282" s="1"/>
  <c r="AG282"/>
  <c r="AH282" s="1"/>
  <c r="AE282"/>
  <c r="AF282" s="1"/>
  <c r="AL282"/>
  <c r="AK282"/>
  <c r="Q282"/>
  <c r="R282" s="1"/>
  <c r="AZ282" s="1"/>
  <c r="O282"/>
  <c r="P282" s="1"/>
  <c r="AY282" s="1"/>
  <c r="V282"/>
  <c r="U282"/>
  <c r="AW281"/>
  <c r="AX281" s="1"/>
  <c r="AU281"/>
  <c r="AV281" s="1"/>
  <c r="AG281"/>
  <c r="AH281" s="1"/>
  <c r="AE281"/>
  <c r="AF281" s="1"/>
  <c r="AL281"/>
  <c r="AK281"/>
  <c r="Q281"/>
  <c r="R281" s="1"/>
  <c r="AZ281" s="1"/>
  <c r="O281"/>
  <c r="P281" s="1"/>
  <c r="AY281" s="1"/>
  <c r="V281"/>
  <c r="U281"/>
  <c r="AW280"/>
  <c r="AX280" s="1"/>
  <c r="AU280"/>
  <c r="AV280" s="1"/>
  <c r="AG280"/>
  <c r="AH280" s="1"/>
  <c r="AE280"/>
  <c r="AF280" s="1"/>
  <c r="AL280"/>
  <c r="AK280"/>
  <c r="Q280"/>
  <c r="R280" s="1"/>
  <c r="AZ280" s="1"/>
  <c r="O280"/>
  <c r="P280" s="1"/>
  <c r="AY280" s="1"/>
  <c r="V280"/>
  <c r="U280"/>
  <c r="AW279"/>
  <c r="AX279" s="1"/>
  <c r="AU279"/>
  <c r="AV279" s="1"/>
  <c r="AG279"/>
  <c r="AH279" s="1"/>
  <c r="AE279"/>
  <c r="AF279" s="1"/>
  <c r="AL279"/>
  <c r="AK279"/>
  <c r="Q279"/>
  <c r="R279" s="1"/>
  <c r="AZ279" s="1"/>
  <c r="O279"/>
  <c r="P279" s="1"/>
  <c r="AY279" s="1"/>
  <c r="V279"/>
  <c r="U279"/>
  <c r="AW278"/>
  <c r="AX278" s="1"/>
  <c r="AU278"/>
  <c r="AV278" s="1"/>
  <c r="AG278"/>
  <c r="AH278" s="1"/>
  <c r="AE278"/>
  <c r="AF278" s="1"/>
  <c r="AL278"/>
  <c r="AK278"/>
  <c r="Q278"/>
  <c r="R278" s="1"/>
  <c r="AZ278" s="1"/>
  <c r="O278"/>
  <c r="P278" s="1"/>
  <c r="AY278" s="1"/>
  <c r="V278"/>
  <c r="U278"/>
  <c r="AW277"/>
  <c r="AX277" s="1"/>
  <c r="AU277"/>
  <c r="AV277" s="1"/>
  <c r="AG277"/>
  <c r="AH277" s="1"/>
  <c r="AE277"/>
  <c r="AF277" s="1"/>
  <c r="AL277"/>
  <c r="AK277"/>
  <c r="Q277"/>
  <c r="R277" s="1"/>
  <c r="AZ277" s="1"/>
  <c r="O277"/>
  <c r="P277" s="1"/>
  <c r="AY277" s="1"/>
  <c r="V277"/>
  <c r="U277"/>
  <c r="AW276"/>
  <c r="AX276" s="1"/>
  <c r="AU276"/>
  <c r="AV276" s="1"/>
  <c r="AG276"/>
  <c r="AH276" s="1"/>
  <c r="AE276"/>
  <c r="AF276" s="1"/>
  <c r="AL276"/>
  <c r="AK276"/>
  <c r="Q276"/>
  <c r="R276" s="1"/>
  <c r="AZ276" s="1"/>
  <c r="O276"/>
  <c r="P276" s="1"/>
  <c r="AY276" s="1"/>
  <c r="V276"/>
  <c r="U276"/>
  <c r="AW275"/>
  <c r="AX275" s="1"/>
  <c r="AU275"/>
  <c r="AV275" s="1"/>
  <c r="AG275"/>
  <c r="AH275" s="1"/>
  <c r="AE275"/>
  <c r="AF275" s="1"/>
  <c r="AL275"/>
  <c r="AK275"/>
  <c r="Q275"/>
  <c r="R275" s="1"/>
  <c r="AZ275" s="1"/>
  <c r="O275"/>
  <c r="P275" s="1"/>
  <c r="AY275" s="1"/>
  <c r="V275"/>
  <c r="U275"/>
  <c r="AW274"/>
  <c r="AX274" s="1"/>
  <c r="AU274"/>
  <c r="AV274" s="1"/>
  <c r="AG274"/>
  <c r="AH274" s="1"/>
  <c r="AE274"/>
  <c r="AF274" s="1"/>
  <c r="AL274"/>
  <c r="AK274"/>
  <c r="Q274"/>
  <c r="R274" s="1"/>
  <c r="AZ274" s="1"/>
  <c r="O274"/>
  <c r="P274" s="1"/>
  <c r="AY274" s="1"/>
  <c r="V274"/>
  <c r="U274"/>
  <c r="AW273"/>
  <c r="AX273" s="1"/>
  <c r="AU273"/>
  <c r="AV273" s="1"/>
  <c r="AG273"/>
  <c r="AH273" s="1"/>
  <c r="AE273"/>
  <c r="AF273" s="1"/>
  <c r="AL273"/>
  <c r="AK273"/>
  <c r="Q273"/>
  <c r="R273" s="1"/>
  <c r="AZ273" s="1"/>
  <c r="O273"/>
  <c r="P273" s="1"/>
  <c r="AY273" s="1"/>
  <c r="V273"/>
  <c r="U273"/>
  <c r="AW272"/>
  <c r="AX272" s="1"/>
  <c r="AU272"/>
  <c r="AV272" s="1"/>
  <c r="AG272"/>
  <c r="AH272" s="1"/>
  <c r="AE272"/>
  <c r="AF272" s="1"/>
  <c r="AL272"/>
  <c r="AK272"/>
  <c r="Q272"/>
  <c r="R272" s="1"/>
  <c r="AZ272" s="1"/>
  <c r="O272"/>
  <c r="P272" s="1"/>
  <c r="AY272" s="1"/>
  <c r="V272"/>
  <c r="U272"/>
  <c r="AW271"/>
  <c r="AX271" s="1"/>
  <c r="AU271"/>
  <c r="AV271" s="1"/>
  <c r="AG271"/>
  <c r="AH271" s="1"/>
  <c r="AE271"/>
  <c r="AF271" s="1"/>
  <c r="AL271"/>
  <c r="AK271"/>
  <c r="Q271"/>
  <c r="R271" s="1"/>
  <c r="AZ271" s="1"/>
  <c r="O271"/>
  <c r="P271" s="1"/>
  <c r="AY271" s="1"/>
  <c r="V271"/>
  <c r="U271"/>
  <c r="AW270"/>
  <c r="AX270" s="1"/>
  <c r="AU270"/>
  <c r="AV270" s="1"/>
  <c r="AG270"/>
  <c r="AH270" s="1"/>
  <c r="AE270"/>
  <c r="AF270" s="1"/>
  <c r="AL270"/>
  <c r="AK270"/>
  <c r="Q270"/>
  <c r="R270" s="1"/>
  <c r="AZ270" s="1"/>
  <c r="O270"/>
  <c r="P270" s="1"/>
  <c r="AY270" s="1"/>
  <c r="V270"/>
  <c r="U270"/>
  <c r="AW269"/>
  <c r="AX269" s="1"/>
  <c r="AU269"/>
  <c r="AV269" s="1"/>
  <c r="AG269"/>
  <c r="AH269" s="1"/>
  <c r="AE269"/>
  <c r="AF269" s="1"/>
  <c r="AL269"/>
  <c r="AK269"/>
  <c r="Q269"/>
  <c r="R269" s="1"/>
  <c r="AZ269" s="1"/>
  <c r="O269"/>
  <c r="P269" s="1"/>
  <c r="AY269" s="1"/>
  <c r="V269"/>
  <c r="U269"/>
  <c r="AW268"/>
  <c r="AX268" s="1"/>
  <c r="AU268"/>
  <c r="AV268" s="1"/>
  <c r="AG268"/>
  <c r="AH268" s="1"/>
  <c r="AE268"/>
  <c r="AF268" s="1"/>
  <c r="AL268"/>
  <c r="AK268"/>
  <c r="Q268"/>
  <c r="R268" s="1"/>
  <c r="AZ268" s="1"/>
  <c r="O268"/>
  <c r="P268" s="1"/>
  <c r="AY268" s="1"/>
  <c r="V268"/>
  <c r="U268"/>
  <c r="AW267"/>
  <c r="AX267" s="1"/>
  <c r="AU267"/>
  <c r="AV267" s="1"/>
  <c r="AG267"/>
  <c r="AH267" s="1"/>
  <c r="AE267"/>
  <c r="AF267" s="1"/>
  <c r="AL267"/>
  <c r="AK267"/>
  <c r="Q267"/>
  <c r="R267" s="1"/>
  <c r="AZ267" s="1"/>
  <c r="O267"/>
  <c r="P267" s="1"/>
  <c r="AY267" s="1"/>
  <c r="V267"/>
  <c r="U267"/>
  <c r="AW266"/>
  <c r="AX266" s="1"/>
  <c r="AU266"/>
  <c r="AV266" s="1"/>
  <c r="AG266"/>
  <c r="AH266" s="1"/>
  <c r="AE266"/>
  <c r="AF266" s="1"/>
  <c r="AL266"/>
  <c r="AK266"/>
  <c r="Q266"/>
  <c r="R266" s="1"/>
  <c r="AZ266" s="1"/>
  <c r="O266"/>
  <c r="P266" s="1"/>
  <c r="AY266" s="1"/>
  <c r="V266"/>
  <c r="U266"/>
  <c r="AW265"/>
  <c r="AX265" s="1"/>
  <c r="AU265"/>
  <c r="AV265" s="1"/>
  <c r="AG265"/>
  <c r="AH265" s="1"/>
  <c r="AE265"/>
  <c r="AF265" s="1"/>
  <c r="AL265"/>
  <c r="AK265"/>
  <c r="Q265"/>
  <c r="R265" s="1"/>
  <c r="AZ265" s="1"/>
  <c r="O265"/>
  <c r="P265" s="1"/>
  <c r="AY265" s="1"/>
  <c r="V265"/>
  <c r="U265"/>
  <c r="AW264"/>
  <c r="AX264" s="1"/>
  <c r="AU264"/>
  <c r="AV264" s="1"/>
  <c r="AG264"/>
  <c r="AH264" s="1"/>
  <c r="AE264"/>
  <c r="AF264" s="1"/>
  <c r="AL264"/>
  <c r="AK264"/>
  <c r="Q264"/>
  <c r="R264" s="1"/>
  <c r="AZ264" s="1"/>
  <c r="O264"/>
  <c r="P264" s="1"/>
  <c r="AY264" s="1"/>
  <c r="V264"/>
  <c r="U264"/>
  <c r="AW263"/>
  <c r="AX263" s="1"/>
  <c r="AU263"/>
  <c r="AV263" s="1"/>
  <c r="AG263"/>
  <c r="AH263" s="1"/>
  <c r="AE263"/>
  <c r="AF263" s="1"/>
  <c r="AL263"/>
  <c r="AK263"/>
  <c r="Q263"/>
  <c r="R263" s="1"/>
  <c r="AZ263" s="1"/>
  <c r="O263"/>
  <c r="P263" s="1"/>
  <c r="AY263" s="1"/>
  <c r="V263"/>
  <c r="U263"/>
  <c r="AW262"/>
  <c r="AX262" s="1"/>
  <c r="AU262"/>
  <c r="AV262" s="1"/>
  <c r="AG262"/>
  <c r="AH262" s="1"/>
  <c r="AE262"/>
  <c r="AF262" s="1"/>
  <c r="AL262"/>
  <c r="AK262"/>
  <c r="Q262"/>
  <c r="R262" s="1"/>
  <c r="AZ262" s="1"/>
  <c r="O262"/>
  <c r="P262" s="1"/>
  <c r="AY262" s="1"/>
  <c r="V262"/>
  <c r="U262"/>
  <c r="AW261"/>
  <c r="AX261" s="1"/>
  <c r="AU261"/>
  <c r="AV261" s="1"/>
  <c r="AG261"/>
  <c r="AH261" s="1"/>
  <c r="AE261"/>
  <c r="AF261" s="1"/>
  <c r="AL261"/>
  <c r="AK261"/>
  <c r="Q261"/>
  <c r="R261" s="1"/>
  <c r="AZ261" s="1"/>
  <c r="O261"/>
  <c r="P261" s="1"/>
  <c r="AY261" s="1"/>
  <c r="V261"/>
  <c r="U261"/>
  <c r="AW260"/>
  <c r="AX260" s="1"/>
  <c r="AU260"/>
  <c r="AV260" s="1"/>
  <c r="AG260"/>
  <c r="AH260" s="1"/>
  <c r="AE260"/>
  <c r="AF260" s="1"/>
  <c r="AL260"/>
  <c r="AK260"/>
  <c r="Q260"/>
  <c r="R260" s="1"/>
  <c r="AZ260" s="1"/>
  <c r="O260"/>
  <c r="P260" s="1"/>
  <c r="AY260" s="1"/>
  <c r="V260"/>
  <c r="U260"/>
  <c r="AW259"/>
  <c r="AX259" s="1"/>
  <c r="AU259"/>
  <c r="AV259" s="1"/>
  <c r="AG259"/>
  <c r="AH259" s="1"/>
  <c r="AE259"/>
  <c r="AF259" s="1"/>
  <c r="AL259"/>
  <c r="AK259"/>
  <c r="Q259"/>
  <c r="R259" s="1"/>
  <c r="AZ259" s="1"/>
  <c r="O259"/>
  <c r="P259" s="1"/>
  <c r="AY259" s="1"/>
  <c r="V259"/>
  <c r="U259"/>
  <c r="AW258"/>
  <c r="AX258" s="1"/>
  <c r="AU258"/>
  <c r="AV258" s="1"/>
  <c r="AG258"/>
  <c r="AH258" s="1"/>
  <c r="AE258"/>
  <c r="AF258" s="1"/>
  <c r="AL258"/>
  <c r="AK258"/>
  <c r="Q258"/>
  <c r="R258" s="1"/>
  <c r="AZ258" s="1"/>
  <c r="O258"/>
  <c r="P258" s="1"/>
  <c r="AY258" s="1"/>
  <c r="V258"/>
  <c r="U258"/>
  <c r="AW257"/>
  <c r="AX257" s="1"/>
  <c r="AU257"/>
  <c r="AV257" s="1"/>
  <c r="AG257"/>
  <c r="AH257" s="1"/>
  <c r="AE257"/>
  <c r="AF257" s="1"/>
  <c r="AL257"/>
  <c r="AK257"/>
  <c r="Q257"/>
  <c r="R257" s="1"/>
  <c r="AZ257" s="1"/>
  <c r="O257"/>
  <c r="P257" s="1"/>
  <c r="AY257" s="1"/>
  <c r="V257"/>
  <c r="U257"/>
  <c r="AW256"/>
  <c r="AX256" s="1"/>
  <c r="AU256"/>
  <c r="AV256" s="1"/>
  <c r="AG256"/>
  <c r="AH256" s="1"/>
  <c r="AE256"/>
  <c r="AF256" s="1"/>
  <c r="AL256"/>
  <c r="AK256"/>
  <c r="Q256"/>
  <c r="R256" s="1"/>
  <c r="AZ256" s="1"/>
  <c r="O256"/>
  <c r="P256" s="1"/>
  <c r="AY256" s="1"/>
  <c r="V256"/>
  <c r="U256"/>
  <c r="AW255"/>
  <c r="AX255" s="1"/>
  <c r="AU255"/>
  <c r="AV255" s="1"/>
  <c r="AG255"/>
  <c r="AH255" s="1"/>
  <c r="AE255"/>
  <c r="AF255" s="1"/>
  <c r="AL255"/>
  <c r="AK255"/>
  <c r="Q255"/>
  <c r="R255" s="1"/>
  <c r="AZ255" s="1"/>
  <c r="O255"/>
  <c r="P255" s="1"/>
  <c r="AY255" s="1"/>
  <c r="V255"/>
  <c r="U255"/>
  <c r="AW254"/>
  <c r="AX254" s="1"/>
  <c r="AU254"/>
  <c r="AV254" s="1"/>
  <c r="AG254"/>
  <c r="AH254" s="1"/>
  <c r="AE254"/>
  <c r="AF254" s="1"/>
  <c r="AL254"/>
  <c r="AK254"/>
  <c r="Q254"/>
  <c r="R254" s="1"/>
  <c r="AZ254" s="1"/>
  <c r="O254"/>
  <c r="P254" s="1"/>
  <c r="AY254" s="1"/>
  <c r="V254"/>
  <c r="U254"/>
  <c r="AW253"/>
  <c r="AX253" s="1"/>
  <c r="AU253"/>
  <c r="AV253" s="1"/>
  <c r="AG253"/>
  <c r="AH253" s="1"/>
  <c r="AE253"/>
  <c r="AF253" s="1"/>
  <c r="AL253"/>
  <c r="AK253"/>
  <c r="Q253"/>
  <c r="R253" s="1"/>
  <c r="AZ253" s="1"/>
  <c r="O253"/>
  <c r="P253" s="1"/>
  <c r="AY253" s="1"/>
  <c r="V253"/>
  <c r="U253"/>
  <c r="AW252"/>
  <c r="AX252" s="1"/>
  <c r="AU252"/>
  <c r="AV252" s="1"/>
  <c r="AG252"/>
  <c r="AH252" s="1"/>
  <c r="AE252"/>
  <c r="AF252" s="1"/>
  <c r="AL252"/>
  <c r="AK252"/>
  <c r="Q252"/>
  <c r="R252" s="1"/>
  <c r="AZ252" s="1"/>
  <c r="O252"/>
  <c r="P252" s="1"/>
  <c r="AY252" s="1"/>
  <c r="V252"/>
  <c r="U252"/>
  <c r="AW251"/>
  <c r="AX251" s="1"/>
  <c r="AU251"/>
  <c r="AV251" s="1"/>
  <c r="AG251"/>
  <c r="AH251" s="1"/>
  <c r="AE251"/>
  <c r="AF251" s="1"/>
  <c r="AL251"/>
  <c r="AK251"/>
  <c r="Q251"/>
  <c r="R251" s="1"/>
  <c r="AZ251" s="1"/>
  <c r="O251"/>
  <c r="P251" s="1"/>
  <c r="AY251" s="1"/>
  <c r="V251"/>
  <c r="U251"/>
  <c r="AW250"/>
  <c r="AX250" s="1"/>
  <c r="AU250"/>
  <c r="AV250" s="1"/>
  <c r="AG250"/>
  <c r="AH250" s="1"/>
  <c r="AE250"/>
  <c r="AF250" s="1"/>
  <c r="AL250"/>
  <c r="AK250"/>
  <c r="Q250"/>
  <c r="R250" s="1"/>
  <c r="AZ250" s="1"/>
  <c r="O250"/>
  <c r="P250" s="1"/>
  <c r="AY250" s="1"/>
  <c r="V250"/>
  <c r="U250"/>
  <c r="AW249"/>
  <c r="AX249" s="1"/>
  <c r="AU249"/>
  <c r="AV249" s="1"/>
  <c r="AG249"/>
  <c r="AH249" s="1"/>
  <c r="AE249"/>
  <c r="AF249" s="1"/>
  <c r="AL249"/>
  <c r="AK249"/>
  <c r="Q249"/>
  <c r="R249" s="1"/>
  <c r="AZ249" s="1"/>
  <c r="O249"/>
  <c r="P249" s="1"/>
  <c r="AY249" s="1"/>
  <c r="V249"/>
  <c r="U249"/>
  <c r="AW248"/>
  <c r="AX248" s="1"/>
  <c r="AU248"/>
  <c r="AV248" s="1"/>
  <c r="AG248"/>
  <c r="AH248" s="1"/>
  <c r="AE248"/>
  <c r="AF248" s="1"/>
  <c r="AL248"/>
  <c r="AK248"/>
  <c r="Q248"/>
  <c r="R248" s="1"/>
  <c r="AZ248" s="1"/>
  <c r="O248"/>
  <c r="P248" s="1"/>
  <c r="AY248" s="1"/>
  <c r="V248"/>
  <c r="U248"/>
  <c r="AW247"/>
  <c r="AX247" s="1"/>
  <c r="AU247"/>
  <c r="AV247" s="1"/>
  <c r="AG247"/>
  <c r="AH247" s="1"/>
  <c r="AE247"/>
  <c r="AF247" s="1"/>
  <c r="AL247"/>
  <c r="AK247"/>
  <c r="Q247"/>
  <c r="R247" s="1"/>
  <c r="AZ247" s="1"/>
  <c r="O247"/>
  <c r="P247" s="1"/>
  <c r="AY247" s="1"/>
  <c r="V247"/>
  <c r="U247"/>
  <c r="AW246"/>
  <c r="AX246" s="1"/>
  <c r="AU246"/>
  <c r="AV246" s="1"/>
  <c r="AG246"/>
  <c r="AH246" s="1"/>
  <c r="AE246"/>
  <c r="AF246" s="1"/>
  <c r="AL246"/>
  <c r="AK246"/>
  <c r="Q246"/>
  <c r="R246" s="1"/>
  <c r="AZ246" s="1"/>
  <c r="O246"/>
  <c r="P246" s="1"/>
  <c r="AY246" s="1"/>
  <c r="V246"/>
  <c r="U246"/>
  <c r="AW245"/>
  <c r="AX245" s="1"/>
  <c r="AU245"/>
  <c r="AV245" s="1"/>
  <c r="AG245"/>
  <c r="AH245" s="1"/>
  <c r="AE245"/>
  <c r="AF245" s="1"/>
  <c r="AL245"/>
  <c r="AK245"/>
  <c r="Q245"/>
  <c r="R245" s="1"/>
  <c r="AZ245" s="1"/>
  <c r="O245"/>
  <c r="P245" s="1"/>
  <c r="AY245" s="1"/>
  <c r="V245"/>
  <c r="U245"/>
  <c r="AW244"/>
  <c r="AX244" s="1"/>
  <c r="AU244"/>
  <c r="AV244" s="1"/>
  <c r="AG244"/>
  <c r="AH244" s="1"/>
  <c r="AE244"/>
  <c r="AF244" s="1"/>
  <c r="AL244"/>
  <c r="AK244"/>
  <c r="Q244"/>
  <c r="R244" s="1"/>
  <c r="AZ244" s="1"/>
  <c r="O244"/>
  <c r="P244" s="1"/>
  <c r="AY244" s="1"/>
  <c r="V244"/>
  <c r="U244"/>
  <c r="AW243"/>
  <c r="AX243" s="1"/>
  <c r="AU243"/>
  <c r="AV243" s="1"/>
  <c r="AG243"/>
  <c r="AH243" s="1"/>
  <c r="AE243"/>
  <c r="AF243" s="1"/>
  <c r="AL243"/>
  <c r="AK243"/>
  <c r="Q243"/>
  <c r="R243" s="1"/>
  <c r="AZ243" s="1"/>
  <c r="O243"/>
  <c r="P243" s="1"/>
  <c r="AY243" s="1"/>
  <c r="V243"/>
  <c r="U243"/>
  <c r="AW242"/>
  <c r="AX242" s="1"/>
  <c r="AU242"/>
  <c r="AV242" s="1"/>
  <c r="AG242"/>
  <c r="AH242" s="1"/>
  <c r="AE242"/>
  <c r="AF242" s="1"/>
  <c r="AL242"/>
  <c r="AK242"/>
  <c r="Q242"/>
  <c r="R242" s="1"/>
  <c r="AZ242" s="1"/>
  <c r="O242"/>
  <c r="P242" s="1"/>
  <c r="AY242" s="1"/>
  <c r="V242"/>
  <c r="U242"/>
  <c r="AW241"/>
  <c r="AX241" s="1"/>
  <c r="AU241"/>
  <c r="AV241" s="1"/>
  <c r="AG241"/>
  <c r="AH241" s="1"/>
  <c r="AE241"/>
  <c r="AF241" s="1"/>
  <c r="AL241"/>
  <c r="AK241"/>
  <c r="Q241"/>
  <c r="R241" s="1"/>
  <c r="AZ241" s="1"/>
  <c r="O241"/>
  <c r="P241" s="1"/>
  <c r="AY241" s="1"/>
  <c r="V241"/>
  <c r="U241"/>
  <c r="AW240"/>
  <c r="AX240" s="1"/>
  <c r="AU240"/>
  <c r="AV240" s="1"/>
  <c r="AG240"/>
  <c r="AH240" s="1"/>
  <c r="AE240"/>
  <c r="AF240" s="1"/>
  <c r="AL240"/>
  <c r="AK240"/>
  <c r="Q240"/>
  <c r="R240" s="1"/>
  <c r="AZ240" s="1"/>
  <c r="O240"/>
  <c r="P240" s="1"/>
  <c r="AY240" s="1"/>
  <c r="V240"/>
  <c r="U240"/>
  <c r="AW239"/>
  <c r="AX239" s="1"/>
  <c r="AU239"/>
  <c r="AV239" s="1"/>
  <c r="AG239"/>
  <c r="AH239" s="1"/>
  <c r="AE239"/>
  <c r="AF239" s="1"/>
  <c r="AL239"/>
  <c r="AK239"/>
  <c r="Q239"/>
  <c r="R239" s="1"/>
  <c r="AZ239" s="1"/>
  <c r="O239"/>
  <c r="P239" s="1"/>
  <c r="AY239" s="1"/>
  <c r="V239"/>
  <c r="U239"/>
  <c r="AW238"/>
  <c r="AX238" s="1"/>
  <c r="AU238"/>
  <c r="AV238" s="1"/>
  <c r="AG238"/>
  <c r="AH238" s="1"/>
  <c r="AE238"/>
  <c r="AF238" s="1"/>
  <c r="AL238"/>
  <c r="AK238"/>
  <c r="Q238"/>
  <c r="R238" s="1"/>
  <c r="AZ238" s="1"/>
  <c r="O238"/>
  <c r="P238" s="1"/>
  <c r="AY238" s="1"/>
  <c r="V238"/>
  <c r="U238"/>
  <c r="AW237"/>
  <c r="AX237" s="1"/>
  <c r="AU237"/>
  <c r="AV237" s="1"/>
  <c r="AG237"/>
  <c r="AH237" s="1"/>
  <c r="AE237"/>
  <c r="AF237" s="1"/>
  <c r="AL237"/>
  <c r="AK237"/>
  <c r="Q237"/>
  <c r="R237" s="1"/>
  <c r="AZ237" s="1"/>
  <c r="O237"/>
  <c r="P237" s="1"/>
  <c r="AY237" s="1"/>
  <c r="V237"/>
  <c r="U237"/>
  <c r="AW236"/>
  <c r="AX236" s="1"/>
  <c r="AU236"/>
  <c r="AV236" s="1"/>
  <c r="AG236"/>
  <c r="AH236" s="1"/>
  <c r="AE236"/>
  <c r="AF236" s="1"/>
  <c r="AL236"/>
  <c r="AK236"/>
  <c r="Q236"/>
  <c r="R236" s="1"/>
  <c r="AZ236" s="1"/>
  <c r="O236"/>
  <c r="P236" s="1"/>
  <c r="AY236" s="1"/>
  <c r="V236"/>
  <c r="U236"/>
  <c r="AW235"/>
  <c r="AX235" s="1"/>
  <c r="AU235"/>
  <c r="AV235" s="1"/>
  <c r="AG235"/>
  <c r="AH235" s="1"/>
  <c r="AE235"/>
  <c r="AF235" s="1"/>
  <c r="AL235"/>
  <c r="AK235"/>
  <c r="Q235"/>
  <c r="R235" s="1"/>
  <c r="AZ235" s="1"/>
  <c r="O235"/>
  <c r="P235" s="1"/>
  <c r="AY235" s="1"/>
  <c r="V235"/>
  <c r="U235"/>
  <c r="AW234"/>
  <c r="AX234" s="1"/>
  <c r="AU234"/>
  <c r="AV234" s="1"/>
  <c r="AG234"/>
  <c r="AH234" s="1"/>
  <c r="AE234"/>
  <c r="AF234" s="1"/>
  <c r="AL234"/>
  <c r="AK234"/>
  <c r="Q234"/>
  <c r="R234" s="1"/>
  <c r="AZ234" s="1"/>
  <c r="O234"/>
  <c r="P234" s="1"/>
  <c r="AY234" s="1"/>
  <c r="V234"/>
  <c r="U234"/>
  <c r="AW233"/>
  <c r="AX233" s="1"/>
  <c r="AU233"/>
  <c r="AV233" s="1"/>
  <c r="AG233"/>
  <c r="AH233" s="1"/>
  <c r="AE233"/>
  <c r="AF233" s="1"/>
  <c r="AL233"/>
  <c r="AK233"/>
  <c r="Q233"/>
  <c r="R233" s="1"/>
  <c r="AZ233" s="1"/>
  <c r="O233"/>
  <c r="P233" s="1"/>
  <c r="AY233" s="1"/>
  <c r="V233"/>
  <c r="U233"/>
  <c r="AW232"/>
  <c r="AX232" s="1"/>
  <c r="AU232"/>
  <c r="AV232" s="1"/>
  <c r="AG232"/>
  <c r="AH232" s="1"/>
  <c r="AE232"/>
  <c r="AF232" s="1"/>
  <c r="AL232"/>
  <c r="AK232"/>
  <c r="Q232"/>
  <c r="O232"/>
  <c r="P232" s="1"/>
  <c r="AY232" s="1"/>
  <c r="AW231"/>
  <c r="AX231" s="1"/>
  <c r="AU231"/>
  <c r="AV231" s="1"/>
  <c r="AG231"/>
  <c r="AH231" s="1"/>
  <c r="AE231"/>
  <c r="AF231" s="1"/>
  <c r="AL231"/>
  <c r="AK231"/>
  <c r="Q231"/>
  <c r="R231" s="1"/>
  <c r="AZ231" s="1"/>
  <c r="O231"/>
  <c r="P231" s="1"/>
  <c r="AY231" s="1"/>
  <c r="V231"/>
  <c r="U231"/>
  <c r="AW230"/>
  <c r="AX230" s="1"/>
  <c r="AU230"/>
  <c r="AV230" s="1"/>
  <c r="AG230"/>
  <c r="AH230" s="1"/>
  <c r="AE230"/>
  <c r="AF230" s="1"/>
  <c r="AL230"/>
  <c r="AK230"/>
  <c r="Q230"/>
  <c r="R230" s="1"/>
  <c r="AZ230" s="1"/>
  <c r="O230"/>
  <c r="P230" s="1"/>
  <c r="AY230" s="1"/>
  <c r="V230"/>
  <c r="U230"/>
  <c r="AW229"/>
  <c r="AX229" s="1"/>
  <c r="AU229"/>
  <c r="AV229" s="1"/>
  <c r="AG229"/>
  <c r="AH229" s="1"/>
  <c r="AE229"/>
  <c r="AF229" s="1"/>
  <c r="AL229"/>
  <c r="AK229"/>
  <c r="Q229"/>
  <c r="O229"/>
  <c r="P229" s="1"/>
  <c r="AY229" s="1"/>
  <c r="AW228"/>
  <c r="AX228" s="1"/>
  <c r="AU228"/>
  <c r="AV228" s="1"/>
  <c r="AG228"/>
  <c r="AH228" s="1"/>
  <c r="AE228"/>
  <c r="AF228" s="1"/>
  <c r="AL228"/>
  <c r="AK228"/>
  <c r="Q228"/>
  <c r="O228"/>
  <c r="P228" s="1"/>
  <c r="AY228" s="1"/>
  <c r="AW227"/>
  <c r="AX227" s="1"/>
  <c r="AU227"/>
  <c r="AV227" s="1"/>
  <c r="AG227"/>
  <c r="AH227" s="1"/>
  <c r="AE227"/>
  <c r="AF227" s="1"/>
  <c r="AL227"/>
  <c r="AK227"/>
  <c r="Q227"/>
  <c r="O227"/>
  <c r="P227" s="1"/>
  <c r="AY227" s="1"/>
  <c r="AW226"/>
  <c r="AX226" s="1"/>
  <c r="AU226"/>
  <c r="AV226" s="1"/>
  <c r="AG226"/>
  <c r="AH226" s="1"/>
  <c r="AE226"/>
  <c r="AF226" s="1"/>
  <c r="AL226"/>
  <c r="AK226"/>
  <c r="Q226"/>
  <c r="O226"/>
  <c r="P226" s="1"/>
  <c r="AY226" s="1"/>
  <c r="AW225"/>
  <c r="AX225" s="1"/>
  <c r="AU225"/>
  <c r="AV225" s="1"/>
  <c r="AG225"/>
  <c r="AH225" s="1"/>
  <c r="AE225"/>
  <c r="AF225" s="1"/>
  <c r="AL225"/>
  <c r="AK225"/>
  <c r="Q225"/>
  <c r="O225"/>
  <c r="P225" s="1"/>
  <c r="AY225" s="1"/>
  <c r="AW224"/>
  <c r="AX224" s="1"/>
  <c r="AU224"/>
  <c r="AV224" s="1"/>
  <c r="AG224"/>
  <c r="AH224" s="1"/>
  <c r="AE224"/>
  <c r="AF224" s="1"/>
  <c r="AL224"/>
  <c r="AK224"/>
  <c r="Q224"/>
  <c r="O224"/>
  <c r="P224" s="1"/>
  <c r="AY224" s="1"/>
  <c r="AW223"/>
  <c r="AX223" s="1"/>
  <c r="AU223"/>
  <c r="AV223" s="1"/>
  <c r="AG223"/>
  <c r="AH223" s="1"/>
  <c r="AE223"/>
  <c r="AF223" s="1"/>
  <c r="AL223"/>
  <c r="AK223"/>
  <c r="Q223"/>
  <c r="O223"/>
  <c r="P223" s="1"/>
  <c r="AY223" s="1"/>
  <c r="AW222"/>
  <c r="AX222" s="1"/>
  <c r="AU222"/>
  <c r="AV222" s="1"/>
  <c r="AG222"/>
  <c r="AH222" s="1"/>
  <c r="AE222"/>
  <c r="AF222" s="1"/>
  <c r="AL222"/>
  <c r="AK222"/>
  <c r="Q222"/>
  <c r="O222"/>
  <c r="P222" s="1"/>
  <c r="AY222" s="1"/>
  <c r="AW221"/>
  <c r="AX221" s="1"/>
  <c r="AU221"/>
  <c r="AV221" s="1"/>
  <c r="AG221"/>
  <c r="AH221" s="1"/>
  <c r="AE221"/>
  <c r="AF221" s="1"/>
  <c r="AL221"/>
  <c r="AK221"/>
  <c r="Q221"/>
  <c r="O221"/>
  <c r="P221" s="1"/>
  <c r="AY221" s="1"/>
  <c r="AW220"/>
  <c r="AX220" s="1"/>
  <c r="AU220"/>
  <c r="AV220" s="1"/>
  <c r="AG220"/>
  <c r="AH220" s="1"/>
  <c r="AE220"/>
  <c r="AF220" s="1"/>
  <c r="AL220"/>
  <c r="AK220"/>
  <c r="Q220"/>
  <c r="O220"/>
  <c r="P220" s="1"/>
  <c r="AY220" s="1"/>
  <c r="AW219"/>
  <c r="AX219" s="1"/>
  <c r="AU219"/>
  <c r="AV219" s="1"/>
  <c r="AG219"/>
  <c r="AH219" s="1"/>
  <c r="AE219"/>
  <c r="AF219" s="1"/>
  <c r="AL219"/>
  <c r="AK219"/>
  <c r="Q219"/>
  <c r="O219"/>
  <c r="P219" s="1"/>
  <c r="AY219" s="1"/>
  <c r="AW218"/>
  <c r="AX218" s="1"/>
  <c r="AU218"/>
  <c r="AV218" s="1"/>
  <c r="AG218"/>
  <c r="AH218" s="1"/>
  <c r="AE218"/>
  <c r="AF218" s="1"/>
  <c r="AL218"/>
  <c r="AK218"/>
  <c r="Q218"/>
  <c r="O218"/>
  <c r="P218" s="1"/>
  <c r="AY218" s="1"/>
  <c r="AW217"/>
  <c r="AX217" s="1"/>
  <c r="AU217"/>
  <c r="AV217" s="1"/>
  <c r="AG217"/>
  <c r="AH217" s="1"/>
  <c r="AE217"/>
  <c r="AF217" s="1"/>
  <c r="AL217"/>
  <c r="AK217"/>
  <c r="Q217"/>
  <c r="O217"/>
  <c r="P217" s="1"/>
  <c r="AY217" s="1"/>
  <c r="AW216"/>
  <c r="AX216" s="1"/>
  <c r="AU216"/>
  <c r="AV216" s="1"/>
  <c r="AG216"/>
  <c r="AH216" s="1"/>
  <c r="AE216"/>
  <c r="AF216" s="1"/>
  <c r="AL216"/>
  <c r="AK216"/>
  <c r="Q216"/>
  <c r="O216"/>
  <c r="P216" s="1"/>
  <c r="AY216" s="1"/>
  <c r="AW215"/>
  <c r="AX215" s="1"/>
  <c r="AU215"/>
  <c r="AV215" s="1"/>
  <c r="AG215"/>
  <c r="AH215" s="1"/>
  <c r="AE215"/>
  <c r="AF215" s="1"/>
  <c r="AL215"/>
  <c r="AK215"/>
  <c r="Q215"/>
  <c r="O215"/>
  <c r="P215" s="1"/>
  <c r="AY215" s="1"/>
  <c r="AW214"/>
  <c r="AX214" s="1"/>
  <c r="AU214"/>
  <c r="AV214" s="1"/>
  <c r="AG214"/>
  <c r="AH214" s="1"/>
  <c r="AE214"/>
  <c r="AF214" s="1"/>
  <c r="AL214"/>
  <c r="AK214"/>
  <c r="Q214"/>
  <c r="O214"/>
  <c r="P214" s="1"/>
  <c r="AY214" s="1"/>
  <c r="AW213"/>
  <c r="AX213" s="1"/>
  <c r="AU213"/>
  <c r="AV213" s="1"/>
  <c r="AG213"/>
  <c r="AH213" s="1"/>
  <c r="AE213"/>
  <c r="AF213" s="1"/>
  <c r="AL213"/>
  <c r="AK213"/>
  <c r="Q213"/>
  <c r="R213" s="1"/>
  <c r="AZ213" s="1"/>
  <c r="O213"/>
  <c r="P213" s="1"/>
  <c r="AY213" s="1"/>
  <c r="AW212"/>
  <c r="AX212" s="1"/>
  <c r="AU212"/>
  <c r="AV212" s="1"/>
  <c r="AG212"/>
  <c r="AH212" s="1"/>
  <c r="AE212"/>
  <c r="AF212" s="1"/>
  <c r="AL212"/>
  <c r="AK212"/>
  <c r="Q212"/>
  <c r="R212" s="1"/>
  <c r="AZ212" s="1"/>
  <c r="O212"/>
  <c r="P212" s="1"/>
  <c r="AY212" s="1"/>
  <c r="AW211"/>
  <c r="AX211" s="1"/>
  <c r="AU211"/>
  <c r="AV211" s="1"/>
  <c r="AG211"/>
  <c r="AH211" s="1"/>
  <c r="AE211"/>
  <c r="AF211" s="1"/>
  <c r="AL211"/>
  <c r="AK211"/>
  <c r="Q211"/>
  <c r="R211" s="1"/>
  <c r="AZ211" s="1"/>
  <c r="O211"/>
  <c r="P211" s="1"/>
  <c r="AY211" s="1"/>
  <c r="AW210"/>
  <c r="AX210" s="1"/>
  <c r="AU210"/>
  <c r="AV210" s="1"/>
  <c r="AG210"/>
  <c r="AH210" s="1"/>
  <c r="AE210"/>
  <c r="AF210" s="1"/>
  <c r="AL210"/>
  <c r="AK210"/>
  <c r="Q210"/>
  <c r="R210" s="1"/>
  <c r="AZ210" s="1"/>
  <c r="O210"/>
  <c r="P210" s="1"/>
  <c r="AY210" s="1"/>
  <c r="AW209"/>
  <c r="AX209" s="1"/>
  <c r="AU209"/>
  <c r="AV209" s="1"/>
  <c r="AG209"/>
  <c r="AH209" s="1"/>
  <c r="AE209"/>
  <c r="AF209" s="1"/>
  <c r="AL209"/>
  <c r="AK209"/>
  <c r="Q209"/>
  <c r="R209" s="1"/>
  <c r="AZ209" s="1"/>
  <c r="O209"/>
  <c r="P209" s="1"/>
  <c r="AY209" s="1"/>
  <c r="AW208"/>
  <c r="AX208" s="1"/>
  <c r="AU208"/>
  <c r="AV208" s="1"/>
  <c r="AG208"/>
  <c r="AH208" s="1"/>
  <c r="AE208"/>
  <c r="AF208" s="1"/>
  <c r="AL208"/>
  <c r="AK208"/>
  <c r="Q208"/>
  <c r="R208" s="1"/>
  <c r="AZ208" s="1"/>
  <c r="O208"/>
  <c r="P208" s="1"/>
  <c r="AY208" s="1"/>
  <c r="AW207"/>
  <c r="AX207" s="1"/>
  <c r="AU207"/>
  <c r="AV207" s="1"/>
  <c r="AG207"/>
  <c r="AH207" s="1"/>
  <c r="AE207"/>
  <c r="AF207" s="1"/>
  <c r="AL207"/>
  <c r="AK207"/>
  <c r="Q207"/>
  <c r="R207" s="1"/>
  <c r="AZ207" s="1"/>
  <c r="O207"/>
  <c r="P207" s="1"/>
  <c r="AY207" s="1"/>
  <c r="AW206"/>
  <c r="AX206" s="1"/>
  <c r="AU206"/>
  <c r="AV206" s="1"/>
  <c r="AG206"/>
  <c r="AH206" s="1"/>
  <c r="AE206"/>
  <c r="AF206" s="1"/>
  <c r="AL206"/>
  <c r="AK206"/>
  <c r="Q206"/>
  <c r="R206" s="1"/>
  <c r="AZ206" s="1"/>
  <c r="O206"/>
  <c r="P206" s="1"/>
  <c r="AY206" s="1"/>
  <c r="AW205"/>
  <c r="AX205" s="1"/>
  <c r="AU205"/>
  <c r="AV205" s="1"/>
  <c r="AG205"/>
  <c r="AH205" s="1"/>
  <c r="AE205"/>
  <c r="AF205" s="1"/>
  <c r="AL205"/>
  <c r="AK205"/>
  <c r="Q205"/>
  <c r="R205" s="1"/>
  <c r="AZ205" s="1"/>
  <c r="O205"/>
  <c r="P205" s="1"/>
  <c r="AY205" s="1"/>
  <c r="AW204"/>
  <c r="AX204" s="1"/>
  <c r="AU204"/>
  <c r="AV204" s="1"/>
  <c r="AG204"/>
  <c r="AH204" s="1"/>
  <c r="AE204"/>
  <c r="AF204" s="1"/>
  <c r="AL204"/>
  <c r="AK204"/>
  <c r="Q204"/>
  <c r="R204" s="1"/>
  <c r="AZ204" s="1"/>
  <c r="O204"/>
  <c r="P204" s="1"/>
  <c r="AY204" s="1"/>
  <c r="AW203"/>
  <c r="AX203" s="1"/>
  <c r="AU203"/>
  <c r="AV203" s="1"/>
  <c r="AG203"/>
  <c r="AH203" s="1"/>
  <c r="AE203"/>
  <c r="AF203" s="1"/>
  <c r="AL203"/>
  <c r="AK203"/>
  <c r="Q203"/>
  <c r="R203" s="1"/>
  <c r="AZ203" s="1"/>
  <c r="O203"/>
  <c r="P203" s="1"/>
  <c r="AY203" s="1"/>
  <c r="AW202"/>
  <c r="AX202" s="1"/>
  <c r="AU202"/>
  <c r="AV202" s="1"/>
  <c r="AG202"/>
  <c r="AH202" s="1"/>
  <c r="AE202"/>
  <c r="AF202" s="1"/>
  <c r="AL202"/>
  <c r="AK202"/>
  <c r="Q202"/>
  <c r="R202" s="1"/>
  <c r="AZ202" s="1"/>
  <c r="O202"/>
  <c r="P202" s="1"/>
  <c r="AY202" s="1"/>
  <c r="AW201"/>
  <c r="AX201" s="1"/>
  <c r="AU201"/>
  <c r="AV201" s="1"/>
  <c r="AG201"/>
  <c r="AH201" s="1"/>
  <c r="AE201"/>
  <c r="AF201" s="1"/>
  <c r="AL201"/>
  <c r="AK201"/>
  <c r="Q201"/>
  <c r="R201" s="1"/>
  <c r="AZ201" s="1"/>
  <c r="O201"/>
  <c r="P201" s="1"/>
  <c r="AY201" s="1"/>
  <c r="AW200"/>
  <c r="AX200" s="1"/>
  <c r="AU200"/>
  <c r="AV200" s="1"/>
  <c r="AG200"/>
  <c r="AH200" s="1"/>
  <c r="AE200"/>
  <c r="AF200" s="1"/>
  <c r="AL200"/>
  <c r="AK200"/>
  <c r="Q200"/>
  <c r="R200" s="1"/>
  <c r="AZ200" s="1"/>
  <c r="O200"/>
  <c r="P200" s="1"/>
  <c r="AY200" s="1"/>
  <c r="AW199"/>
  <c r="AX199" s="1"/>
  <c r="AU199"/>
  <c r="AV199" s="1"/>
  <c r="AG199"/>
  <c r="AH199" s="1"/>
  <c r="AE199"/>
  <c r="AF199" s="1"/>
  <c r="AL199"/>
  <c r="AK199"/>
  <c r="Q199"/>
  <c r="R199" s="1"/>
  <c r="AZ199" s="1"/>
  <c r="O199"/>
  <c r="P199" s="1"/>
  <c r="AY199" s="1"/>
  <c r="AW198"/>
  <c r="AX198" s="1"/>
  <c r="AU198"/>
  <c r="AV198" s="1"/>
  <c r="AG198"/>
  <c r="AH198" s="1"/>
  <c r="AE198"/>
  <c r="AF198" s="1"/>
  <c r="AL198"/>
  <c r="AK198"/>
  <c r="Q198"/>
  <c r="R198" s="1"/>
  <c r="AZ198" s="1"/>
  <c r="O198"/>
  <c r="P198" s="1"/>
  <c r="AY198" s="1"/>
  <c r="AW197"/>
  <c r="AX197" s="1"/>
  <c r="AU197"/>
  <c r="AV197" s="1"/>
  <c r="AG197"/>
  <c r="AH197" s="1"/>
  <c r="AE197"/>
  <c r="AF197" s="1"/>
  <c r="AL197"/>
  <c r="AK197"/>
  <c r="Q197"/>
  <c r="R197" s="1"/>
  <c r="AZ197" s="1"/>
  <c r="O197"/>
  <c r="P197" s="1"/>
  <c r="AY197" s="1"/>
  <c r="AW196"/>
  <c r="AX196" s="1"/>
  <c r="AU196"/>
  <c r="AV196" s="1"/>
  <c r="AG196"/>
  <c r="AH196" s="1"/>
  <c r="AE196"/>
  <c r="AF196" s="1"/>
  <c r="AL196"/>
  <c r="AK196"/>
  <c r="Q196"/>
  <c r="R196" s="1"/>
  <c r="AZ196" s="1"/>
  <c r="O196"/>
  <c r="P196" s="1"/>
  <c r="AY196" s="1"/>
  <c r="AW195"/>
  <c r="AX195" s="1"/>
  <c r="AU195"/>
  <c r="AV195" s="1"/>
  <c r="AG195"/>
  <c r="AH195" s="1"/>
  <c r="AE195"/>
  <c r="AF195" s="1"/>
  <c r="AL195"/>
  <c r="AK195"/>
  <c r="Q195"/>
  <c r="R195" s="1"/>
  <c r="AZ195" s="1"/>
  <c r="O195"/>
  <c r="P195" s="1"/>
  <c r="AY195" s="1"/>
  <c r="AW194"/>
  <c r="AX194" s="1"/>
  <c r="AU194"/>
  <c r="AV194" s="1"/>
  <c r="AG194"/>
  <c r="AH194" s="1"/>
  <c r="AE194"/>
  <c r="AF194" s="1"/>
  <c r="AL194"/>
  <c r="AK194"/>
  <c r="Q194"/>
  <c r="R194" s="1"/>
  <c r="AZ194" s="1"/>
  <c r="O194"/>
  <c r="P194" s="1"/>
  <c r="AY194" s="1"/>
  <c r="AW193"/>
  <c r="AX193" s="1"/>
  <c r="AU193"/>
  <c r="AV193" s="1"/>
  <c r="AG193"/>
  <c r="AH193" s="1"/>
  <c r="AE193"/>
  <c r="AF193" s="1"/>
  <c r="AL193"/>
  <c r="AK193"/>
  <c r="Q193"/>
  <c r="R193" s="1"/>
  <c r="AZ193" s="1"/>
  <c r="O193"/>
  <c r="P193" s="1"/>
  <c r="AY193" s="1"/>
  <c r="AW192"/>
  <c r="AX192" s="1"/>
  <c r="AU192"/>
  <c r="AV192" s="1"/>
  <c r="AG192"/>
  <c r="AH192" s="1"/>
  <c r="AE192"/>
  <c r="AF192" s="1"/>
  <c r="AL192"/>
  <c r="AK192"/>
  <c r="Q192"/>
  <c r="R192" s="1"/>
  <c r="AZ192" s="1"/>
  <c r="O192"/>
  <c r="P192" s="1"/>
  <c r="AY192" s="1"/>
  <c r="AW191"/>
  <c r="AX191" s="1"/>
  <c r="AU191"/>
  <c r="AV191" s="1"/>
  <c r="AG191"/>
  <c r="AH191" s="1"/>
  <c r="AE191"/>
  <c r="AF191" s="1"/>
  <c r="AL191"/>
  <c r="AK191"/>
  <c r="Q191"/>
  <c r="R191" s="1"/>
  <c r="AZ191" s="1"/>
  <c r="O191"/>
  <c r="P191" s="1"/>
  <c r="AY191" s="1"/>
  <c r="AW190"/>
  <c r="AX190" s="1"/>
  <c r="AU190"/>
  <c r="AV190" s="1"/>
  <c r="AG190"/>
  <c r="AH190" s="1"/>
  <c r="AE190"/>
  <c r="AF190" s="1"/>
  <c r="AL190"/>
  <c r="AK190"/>
  <c r="Q190"/>
  <c r="R190" s="1"/>
  <c r="AZ190" s="1"/>
  <c r="O190"/>
  <c r="P190" s="1"/>
  <c r="AY190" s="1"/>
  <c r="AW189"/>
  <c r="AX189" s="1"/>
  <c r="AU189"/>
  <c r="AV189" s="1"/>
  <c r="AG189"/>
  <c r="AH189" s="1"/>
  <c r="AE189"/>
  <c r="AF189" s="1"/>
  <c r="AL189"/>
  <c r="AK189"/>
  <c r="Q189"/>
  <c r="R189" s="1"/>
  <c r="AZ189" s="1"/>
  <c r="O189"/>
  <c r="P189" s="1"/>
  <c r="AY189" s="1"/>
  <c r="AW188"/>
  <c r="AX188" s="1"/>
  <c r="AU188"/>
  <c r="AV188" s="1"/>
  <c r="AG188"/>
  <c r="AH188" s="1"/>
  <c r="AE188"/>
  <c r="AF188" s="1"/>
  <c r="AL188"/>
  <c r="AK188"/>
  <c r="Q188"/>
  <c r="R188" s="1"/>
  <c r="AZ188" s="1"/>
  <c r="O188"/>
  <c r="P188" s="1"/>
  <c r="AY188" s="1"/>
  <c r="AW187"/>
  <c r="AX187" s="1"/>
  <c r="AU187"/>
  <c r="AV187" s="1"/>
  <c r="AG187"/>
  <c r="AH187" s="1"/>
  <c r="AE187"/>
  <c r="AF187" s="1"/>
  <c r="AL187"/>
  <c r="AK187"/>
  <c r="AZ187"/>
  <c r="AY187"/>
  <c r="AW186"/>
  <c r="AX186" s="1"/>
  <c r="AU186"/>
  <c r="AV186" s="1"/>
  <c r="AG186"/>
  <c r="AH186" s="1"/>
  <c r="AE186"/>
  <c r="AF186" s="1"/>
  <c r="AL186"/>
  <c r="AK186"/>
  <c r="AZ186"/>
  <c r="AY186"/>
  <c r="AW185"/>
  <c r="AX185" s="1"/>
  <c r="AU185"/>
  <c r="AV185" s="1"/>
  <c r="AG185"/>
  <c r="AH185" s="1"/>
  <c r="AE185"/>
  <c r="AF185" s="1"/>
  <c r="AZ185"/>
  <c r="AY185"/>
  <c r="AW184"/>
  <c r="AX184" s="1"/>
  <c r="AU184"/>
  <c r="AV184" s="1"/>
  <c r="AG184"/>
  <c r="AH184" s="1"/>
  <c r="AE184"/>
  <c r="AF184" s="1"/>
  <c r="AZ184"/>
  <c r="AY184"/>
  <c r="AW183"/>
  <c r="AX183" s="1"/>
  <c r="AU183"/>
  <c r="AV183" s="1"/>
  <c r="AG183"/>
  <c r="AH183" s="1"/>
  <c r="AE183"/>
  <c r="AF183" s="1"/>
  <c r="AZ183"/>
  <c r="AY183"/>
  <c r="AW182"/>
  <c r="AX182" s="1"/>
  <c r="AU182"/>
  <c r="AV182" s="1"/>
  <c r="AZ182"/>
  <c r="AY182"/>
  <c r="AG152"/>
  <c r="AH152" s="1"/>
  <c r="AE152"/>
  <c r="AF152" s="1"/>
  <c r="AL152"/>
  <c r="AK152"/>
  <c r="O152"/>
  <c r="P152" s="1"/>
  <c r="N152"/>
  <c r="L152"/>
  <c r="J152"/>
  <c r="AW151"/>
  <c r="AX151" s="1"/>
  <c r="AU151"/>
  <c r="AV151" s="1"/>
  <c r="AG151"/>
  <c r="AH151" s="1"/>
  <c r="AE151"/>
  <c r="AF151" s="1"/>
  <c r="AL151"/>
  <c r="AK151"/>
  <c r="Q151"/>
  <c r="R151" s="1"/>
  <c r="AZ151" s="1"/>
  <c r="O151"/>
  <c r="P151" s="1"/>
  <c r="AY151" s="1"/>
  <c r="AW150"/>
  <c r="AX150" s="1"/>
  <c r="AU150"/>
  <c r="AV150" s="1"/>
  <c r="AG150"/>
  <c r="AH150" s="1"/>
  <c r="AE150"/>
  <c r="AF150" s="1"/>
  <c r="AL150"/>
  <c r="AK150"/>
  <c r="Q150"/>
  <c r="R150" s="1"/>
  <c r="AZ150" s="1"/>
  <c r="O150"/>
  <c r="P150" s="1"/>
  <c r="AY150" s="1"/>
  <c r="AW149"/>
  <c r="AX149" s="1"/>
  <c r="AU149"/>
  <c r="AV149" s="1"/>
  <c r="AG149"/>
  <c r="AH149" s="1"/>
  <c r="AE149"/>
  <c r="AF149" s="1"/>
  <c r="AL149"/>
  <c r="AK149"/>
  <c r="Q149"/>
  <c r="R149" s="1"/>
  <c r="O149"/>
  <c r="P149" s="1"/>
  <c r="V149"/>
  <c r="U149"/>
  <c r="AW148"/>
  <c r="AX148" s="1"/>
  <c r="AU148"/>
  <c r="AV148" s="1"/>
  <c r="AG148"/>
  <c r="AH148" s="1"/>
  <c r="AE148"/>
  <c r="AF148" s="1"/>
  <c r="AL148"/>
  <c r="AK148"/>
  <c r="O148"/>
  <c r="P148" s="1"/>
  <c r="N148"/>
  <c r="L148"/>
  <c r="AW147"/>
  <c r="AX147" s="1"/>
  <c r="AU147"/>
  <c r="AV147" s="1"/>
  <c r="AG147"/>
  <c r="AH147" s="1"/>
  <c r="AE147"/>
  <c r="AF147" s="1"/>
  <c r="AL147"/>
  <c r="AK147"/>
  <c r="O147"/>
  <c r="P147" s="1"/>
  <c r="N147"/>
  <c r="L147"/>
  <c r="J147"/>
  <c r="AW146"/>
  <c r="AX146" s="1"/>
  <c r="AU146"/>
  <c r="AV146" s="1"/>
  <c r="AG146"/>
  <c r="AH146" s="1"/>
  <c r="AE146"/>
  <c r="AF146" s="1"/>
  <c r="AL146"/>
  <c r="AK146"/>
  <c r="O146"/>
  <c r="P146" s="1"/>
  <c r="N146"/>
  <c r="L146"/>
  <c r="J146"/>
  <c r="AW145"/>
  <c r="AX145" s="1"/>
  <c r="AU145"/>
  <c r="AV145" s="1"/>
  <c r="AG145"/>
  <c r="AH145" s="1"/>
  <c r="AE145"/>
  <c r="AF145" s="1"/>
  <c r="AL145"/>
  <c r="AK145"/>
  <c r="O145"/>
  <c r="P145" s="1"/>
  <c r="L145"/>
  <c r="Q145" s="1"/>
  <c r="AW144"/>
  <c r="AX144" s="1"/>
  <c r="AU144"/>
  <c r="AV144" s="1"/>
  <c r="AG144"/>
  <c r="AH144" s="1"/>
  <c r="AE144"/>
  <c r="AF144" s="1"/>
  <c r="AL144"/>
  <c r="AK144"/>
  <c r="O144"/>
  <c r="P144" s="1"/>
  <c r="N144"/>
  <c r="L144"/>
  <c r="J144"/>
  <c r="AW143"/>
  <c r="AX143" s="1"/>
  <c r="AU143"/>
  <c r="AV143" s="1"/>
  <c r="AG143"/>
  <c r="AH143" s="1"/>
  <c r="AE143"/>
  <c r="AF143" s="1"/>
  <c r="AL143"/>
  <c r="AK143"/>
  <c r="Q143"/>
  <c r="R143" s="1"/>
  <c r="AZ143" s="1"/>
  <c r="O143"/>
  <c r="P143" s="1"/>
  <c r="AY143" s="1"/>
  <c r="AW142"/>
  <c r="AX142" s="1"/>
  <c r="AU142"/>
  <c r="AV142" s="1"/>
  <c r="AG142"/>
  <c r="AH142" s="1"/>
  <c r="AE142"/>
  <c r="AF142" s="1"/>
  <c r="AL142"/>
  <c r="AK142"/>
  <c r="O142"/>
  <c r="P142" s="1"/>
  <c r="N142"/>
  <c r="L142"/>
  <c r="AW141"/>
  <c r="AX141" s="1"/>
  <c r="AU141"/>
  <c r="AV141" s="1"/>
  <c r="AG141"/>
  <c r="AH141" s="1"/>
  <c r="AE141"/>
  <c r="AF141" s="1"/>
  <c r="AL141"/>
  <c r="AK141"/>
  <c r="O141"/>
  <c r="P141" s="1"/>
  <c r="L141"/>
  <c r="Q141" s="1"/>
  <c r="AW140"/>
  <c r="AX140" s="1"/>
  <c r="AU140"/>
  <c r="AV140" s="1"/>
  <c r="AG140"/>
  <c r="AH140" s="1"/>
  <c r="AE140"/>
  <c r="AF140" s="1"/>
  <c r="AL140"/>
  <c r="AK140"/>
  <c r="O140"/>
  <c r="P140" s="1"/>
  <c r="N140"/>
  <c r="L140"/>
  <c r="J140"/>
  <c r="AW139"/>
  <c r="AX139" s="1"/>
  <c r="AU139"/>
  <c r="AV139" s="1"/>
  <c r="AG139"/>
  <c r="AH139" s="1"/>
  <c r="AE139"/>
  <c r="AF139" s="1"/>
  <c r="AL139"/>
  <c r="AK139"/>
  <c r="Q139"/>
  <c r="R139" s="1"/>
  <c r="AZ139" s="1"/>
  <c r="O139"/>
  <c r="P139" s="1"/>
  <c r="AY139" s="1"/>
  <c r="AW138"/>
  <c r="AX138" s="1"/>
  <c r="AU138"/>
  <c r="AV138" s="1"/>
  <c r="AG138"/>
  <c r="AH138" s="1"/>
  <c r="AE138"/>
  <c r="AF138" s="1"/>
  <c r="AL138"/>
  <c r="AK138"/>
  <c r="O138"/>
  <c r="P138" s="1"/>
  <c r="N138"/>
  <c r="L138"/>
  <c r="J138"/>
  <c r="AW137"/>
  <c r="AX137" s="1"/>
  <c r="AU137"/>
  <c r="AV137" s="1"/>
  <c r="AG137"/>
  <c r="AH137" s="1"/>
  <c r="AE137"/>
  <c r="AF137" s="1"/>
  <c r="AL137"/>
  <c r="AK137"/>
  <c r="O137"/>
  <c r="P137" s="1"/>
  <c r="N137"/>
  <c r="L137"/>
  <c r="J137"/>
  <c r="AW136"/>
  <c r="AX136" s="1"/>
  <c r="AU136"/>
  <c r="AV136" s="1"/>
  <c r="AG136"/>
  <c r="AH136" s="1"/>
  <c r="AE136"/>
  <c r="AF136" s="1"/>
  <c r="AL136"/>
  <c r="AK136"/>
  <c r="O136"/>
  <c r="P136" s="1"/>
  <c r="N136"/>
  <c r="L136"/>
  <c r="J136"/>
  <c r="AW135"/>
  <c r="AX135" s="1"/>
  <c r="AU135"/>
  <c r="AV135" s="1"/>
  <c r="AG135"/>
  <c r="AH135" s="1"/>
  <c r="AE135"/>
  <c r="AF135" s="1"/>
  <c r="AL135"/>
  <c r="AK135"/>
  <c r="O135"/>
  <c r="P135" s="1"/>
  <c r="N135"/>
  <c r="L135"/>
  <c r="J135"/>
  <c r="AW134"/>
  <c r="AX134" s="1"/>
  <c r="AU134"/>
  <c r="AV134" s="1"/>
  <c r="AG134"/>
  <c r="AH134" s="1"/>
  <c r="AE134"/>
  <c r="AF134" s="1"/>
  <c r="AL134"/>
  <c r="AK134"/>
  <c r="O134"/>
  <c r="P134" s="1"/>
  <c r="N134"/>
  <c r="L134"/>
  <c r="J134"/>
  <c r="AW133"/>
  <c r="AX133" s="1"/>
  <c r="AU133"/>
  <c r="AV133" s="1"/>
  <c r="AG133"/>
  <c r="AH133" s="1"/>
  <c r="AE133"/>
  <c r="AF133" s="1"/>
  <c r="AL133"/>
  <c r="AK133"/>
  <c r="O133"/>
  <c r="P133" s="1"/>
  <c r="N133"/>
  <c r="L133"/>
  <c r="J133"/>
  <c r="AW132"/>
  <c r="AX132" s="1"/>
  <c r="AU132"/>
  <c r="AV132" s="1"/>
  <c r="AG132"/>
  <c r="AH132" s="1"/>
  <c r="AE132"/>
  <c r="AF132" s="1"/>
  <c r="AL132"/>
  <c r="AK132"/>
  <c r="O132"/>
  <c r="P132" s="1"/>
  <c r="N132"/>
  <c r="L132"/>
  <c r="J132"/>
  <c r="AW131"/>
  <c r="AX131" s="1"/>
  <c r="AU131"/>
  <c r="AV131" s="1"/>
  <c r="AG131"/>
  <c r="AH131" s="1"/>
  <c r="AE131"/>
  <c r="AF131" s="1"/>
  <c r="AL131"/>
  <c r="AK131"/>
  <c r="O131"/>
  <c r="P131" s="1"/>
  <c r="N131"/>
  <c r="L131"/>
  <c r="J131"/>
  <c r="AW130"/>
  <c r="AX130" s="1"/>
  <c r="AU130"/>
  <c r="AV130" s="1"/>
  <c r="AG130"/>
  <c r="AH130" s="1"/>
  <c r="AE130"/>
  <c r="AF130" s="1"/>
  <c r="AL130"/>
  <c r="AK130"/>
  <c r="O130"/>
  <c r="P130" s="1"/>
  <c r="N130"/>
  <c r="L130"/>
  <c r="J130"/>
  <c r="AW129"/>
  <c r="AX129" s="1"/>
  <c r="AU129"/>
  <c r="AV129" s="1"/>
  <c r="AG129"/>
  <c r="AH129" s="1"/>
  <c r="AE129"/>
  <c r="AF129" s="1"/>
  <c r="AL129"/>
  <c r="AK129"/>
  <c r="O129"/>
  <c r="P129" s="1"/>
  <c r="N129"/>
  <c r="L129"/>
  <c r="J129"/>
  <c r="AW128"/>
  <c r="AX128" s="1"/>
  <c r="AU128"/>
  <c r="AV128" s="1"/>
  <c r="AG128"/>
  <c r="AH128" s="1"/>
  <c r="AE128"/>
  <c r="AF128" s="1"/>
  <c r="AL128"/>
  <c r="AK128"/>
  <c r="O128"/>
  <c r="P128" s="1"/>
  <c r="N128"/>
  <c r="L128"/>
  <c r="J128"/>
  <c r="AW127"/>
  <c r="AX127" s="1"/>
  <c r="AU127"/>
  <c r="AV127" s="1"/>
  <c r="AG127"/>
  <c r="AH127" s="1"/>
  <c r="AE127"/>
  <c r="AF127" s="1"/>
  <c r="AL127"/>
  <c r="AK127"/>
  <c r="O127"/>
  <c r="P127" s="1"/>
  <c r="N127"/>
  <c r="L127"/>
  <c r="J127"/>
  <c r="AW126"/>
  <c r="AX126" s="1"/>
  <c r="AU126"/>
  <c r="AV126" s="1"/>
  <c r="AG126"/>
  <c r="AH126" s="1"/>
  <c r="AE126"/>
  <c r="AF126" s="1"/>
  <c r="AL126"/>
  <c r="AK126"/>
  <c r="O126"/>
  <c r="P126" s="1"/>
  <c r="N126"/>
  <c r="L126"/>
  <c r="J126"/>
  <c r="AW125"/>
  <c r="AX125" s="1"/>
  <c r="AU125"/>
  <c r="AV125" s="1"/>
  <c r="AG125"/>
  <c r="AH125" s="1"/>
  <c r="AE125"/>
  <c r="AF125" s="1"/>
  <c r="AL125"/>
  <c r="AK125"/>
  <c r="O125"/>
  <c r="P125" s="1"/>
  <c r="N125"/>
  <c r="L125"/>
  <c r="J125"/>
  <c r="AW124"/>
  <c r="AX124" s="1"/>
  <c r="AU124"/>
  <c r="AV124" s="1"/>
  <c r="AG124"/>
  <c r="AH124" s="1"/>
  <c r="AE124"/>
  <c r="AF124" s="1"/>
  <c r="AL124"/>
  <c r="AK124"/>
  <c r="O124"/>
  <c r="P124" s="1"/>
  <c r="N124"/>
  <c r="L124"/>
  <c r="J124"/>
  <c r="AW123"/>
  <c r="AX123" s="1"/>
  <c r="AU123"/>
  <c r="AV123" s="1"/>
  <c r="AG123"/>
  <c r="AH123" s="1"/>
  <c r="AE123"/>
  <c r="AF123" s="1"/>
  <c r="AL123"/>
  <c r="AK123"/>
  <c r="O123"/>
  <c r="P123" s="1"/>
  <c r="N123"/>
  <c r="L123"/>
  <c r="J123"/>
  <c r="AW122"/>
  <c r="AX122" s="1"/>
  <c r="AU122"/>
  <c r="AV122" s="1"/>
  <c r="AG122"/>
  <c r="AH122" s="1"/>
  <c r="AE122"/>
  <c r="AF122" s="1"/>
  <c r="AL122"/>
  <c r="AK122"/>
  <c r="O122"/>
  <c r="P122" s="1"/>
  <c r="N122"/>
  <c r="L122"/>
  <c r="J122"/>
  <c r="AW121"/>
  <c r="AX121" s="1"/>
  <c r="AU121"/>
  <c r="AV121" s="1"/>
  <c r="AG121"/>
  <c r="AH121" s="1"/>
  <c r="AE121"/>
  <c r="AF121" s="1"/>
  <c r="AL121"/>
  <c r="AK121"/>
  <c r="O121"/>
  <c r="P121" s="1"/>
  <c r="N121"/>
  <c r="L121"/>
  <c r="J121"/>
  <c r="AW120"/>
  <c r="AX120" s="1"/>
  <c r="AU120"/>
  <c r="AV120" s="1"/>
  <c r="AG120"/>
  <c r="AH120" s="1"/>
  <c r="AE120"/>
  <c r="AF120" s="1"/>
  <c r="AL120"/>
  <c r="AK120"/>
  <c r="O120"/>
  <c r="P120" s="1"/>
  <c r="N120"/>
  <c r="L120"/>
  <c r="J120"/>
  <c r="AW119"/>
  <c r="AX119" s="1"/>
  <c r="AU119"/>
  <c r="AV119" s="1"/>
  <c r="AG119"/>
  <c r="AH119" s="1"/>
  <c r="AE119"/>
  <c r="AF119" s="1"/>
  <c r="Q119"/>
  <c r="R119" s="1"/>
  <c r="O119"/>
  <c r="P119" s="1"/>
  <c r="AW118"/>
  <c r="AX118" s="1"/>
  <c r="AU118"/>
  <c r="AV118" s="1"/>
  <c r="AG118"/>
  <c r="AH118" s="1"/>
  <c r="AE118"/>
  <c r="AF118" s="1"/>
  <c r="Q118"/>
  <c r="R118" s="1"/>
  <c r="O118"/>
  <c r="P118" s="1"/>
  <c r="AW117"/>
  <c r="AX117" s="1"/>
  <c r="AU117"/>
  <c r="AV117" s="1"/>
  <c r="AG117"/>
  <c r="AH117" s="1"/>
  <c r="AE117"/>
  <c r="AF117" s="1"/>
  <c r="Q117"/>
  <c r="R117" s="1"/>
  <c r="O117"/>
  <c r="P117" s="1"/>
  <c r="AW116"/>
  <c r="AX116" s="1"/>
  <c r="AU116"/>
  <c r="AV116" s="1"/>
  <c r="AG116"/>
  <c r="AH116" s="1"/>
  <c r="AE116"/>
  <c r="AF116" s="1"/>
  <c r="Q116"/>
  <c r="R116" s="1"/>
  <c r="O116"/>
  <c r="P116" s="1"/>
  <c r="AW115"/>
  <c r="AX115" s="1"/>
  <c r="AU115"/>
  <c r="AV115" s="1"/>
  <c r="AG115"/>
  <c r="AH115" s="1"/>
  <c r="AE115"/>
  <c r="AF115" s="1"/>
  <c r="Q115"/>
  <c r="R115" s="1"/>
  <c r="O115"/>
  <c r="P115" s="1"/>
  <c r="AW114"/>
  <c r="AX114" s="1"/>
  <c r="AU114"/>
  <c r="AV114" s="1"/>
  <c r="AG114"/>
  <c r="AH114" s="1"/>
  <c r="AE114"/>
  <c r="AF114" s="1"/>
  <c r="Q114"/>
  <c r="R114" s="1"/>
  <c r="O114"/>
  <c r="P114" s="1"/>
  <c r="AW113"/>
  <c r="AX113" s="1"/>
  <c r="AU113"/>
  <c r="AV113" s="1"/>
  <c r="AG113"/>
  <c r="AH113" s="1"/>
  <c r="AE113"/>
  <c r="AF113" s="1"/>
  <c r="Q113"/>
  <c r="R113" s="1"/>
  <c r="O113"/>
  <c r="P113" s="1"/>
  <c r="AW112"/>
  <c r="AX112" s="1"/>
  <c r="AU112"/>
  <c r="AV112" s="1"/>
  <c r="AG112"/>
  <c r="AH112" s="1"/>
  <c r="AE112"/>
  <c r="AF112" s="1"/>
  <c r="Q112"/>
  <c r="R112" s="1"/>
  <c r="O112"/>
  <c r="P112" s="1"/>
  <c r="AW111"/>
  <c r="AX111" s="1"/>
  <c r="AU111"/>
  <c r="AV111" s="1"/>
  <c r="AG111"/>
  <c r="AH111" s="1"/>
  <c r="AE111"/>
  <c r="AF111" s="1"/>
  <c r="Q111"/>
  <c r="R111" s="1"/>
  <c r="O111"/>
  <c r="P111" s="1"/>
  <c r="AW110"/>
  <c r="AX110" s="1"/>
  <c r="AU110"/>
  <c r="AV110" s="1"/>
  <c r="AG110"/>
  <c r="AH110" s="1"/>
  <c r="AE110"/>
  <c r="AF110" s="1"/>
  <c r="Q110"/>
  <c r="R110" s="1"/>
  <c r="O110"/>
  <c r="P110" s="1"/>
  <c r="AW109"/>
  <c r="AX109" s="1"/>
  <c r="AU109"/>
  <c r="AV109" s="1"/>
  <c r="AG109"/>
  <c r="AH109" s="1"/>
  <c r="AE109"/>
  <c r="AF109" s="1"/>
  <c r="Q109"/>
  <c r="R109" s="1"/>
  <c r="O109"/>
  <c r="P109" s="1"/>
  <c r="AW108"/>
  <c r="AX108" s="1"/>
  <c r="AU108"/>
  <c r="AV108" s="1"/>
  <c r="AG108"/>
  <c r="AH108" s="1"/>
  <c r="AE108"/>
  <c r="AF108" s="1"/>
  <c r="Q108"/>
  <c r="R108" s="1"/>
  <c r="O108"/>
  <c r="P108" s="1"/>
  <c r="AW107"/>
  <c r="AX107" s="1"/>
  <c r="AU107"/>
  <c r="AV107" s="1"/>
  <c r="AG107"/>
  <c r="AH107" s="1"/>
  <c r="AE107"/>
  <c r="AF107" s="1"/>
  <c r="Q107"/>
  <c r="R107" s="1"/>
  <c r="O107"/>
  <c r="P107" s="1"/>
  <c r="AW106"/>
  <c r="AX106" s="1"/>
  <c r="AU106"/>
  <c r="AV106" s="1"/>
  <c r="AG106"/>
  <c r="AH106" s="1"/>
  <c r="AE106"/>
  <c r="AF106" s="1"/>
  <c r="Q106"/>
  <c r="R106" s="1"/>
  <c r="O106"/>
  <c r="P106" s="1"/>
  <c r="AW105"/>
  <c r="AX105" s="1"/>
  <c r="AU105"/>
  <c r="AV105" s="1"/>
  <c r="AG105"/>
  <c r="AH105" s="1"/>
  <c r="AE105"/>
  <c r="AF105" s="1"/>
  <c r="Q105"/>
  <c r="R105" s="1"/>
  <c r="O105"/>
  <c r="P105" s="1"/>
  <c r="AW104"/>
  <c r="AX104" s="1"/>
  <c r="AU104"/>
  <c r="AV104" s="1"/>
  <c r="AG104"/>
  <c r="AH104" s="1"/>
  <c r="AE104"/>
  <c r="AF104" s="1"/>
  <c r="Q104"/>
  <c r="R104" s="1"/>
  <c r="O104"/>
  <c r="P104" s="1"/>
  <c r="AW103"/>
  <c r="AX103" s="1"/>
  <c r="AU103"/>
  <c r="AV103" s="1"/>
  <c r="AG103"/>
  <c r="AH103" s="1"/>
  <c r="AE103"/>
  <c r="AF103" s="1"/>
  <c r="Q103"/>
  <c r="R103" s="1"/>
  <c r="O103"/>
  <c r="P103" s="1"/>
  <c r="AW102"/>
  <c r="AX102" s="1"/>
  <c r="AU102"/>
  <c r="AV102" s="1"/>
  <c r="AG102"/>
  <c r="AH102" s="1"/>
  <c r="AE102"/>
  <c r="AF102" s="1"/>
  <c r="Q102"/>
  <c r="R102" s="1"/>
  <c r="O102"/>
  <c r="P102" s="1"/>
  <c r="AW101"/>
  <c r="AX101" s="1"/>
  <c r="AU101"/>
  <c r="AV101" s="1"/>
  <c r="AG101"/>
  <c r="AH101" s="1"/>
  <c r="AE101"/>
  <c r="AF101" s="1"/>
  <c r="Q101"/>
  <c r="R101" s="1"/>
  <c r="O101"/>
  <c r="P101" s="1"/>
  <c r="AW100"/>
  <c r="AX100" s="1"/>
  <c r="AU100"/>
  <c r="AV100" s="1"/>
  <c r="AG100"/>
  <c r="AH100" s="1"/>
  <c r="AE100"/>
  <c r="AF100" s="1"/>
  <c r="Q100"/>
  <c r="R100" s="1"/>
  <c r="O100"/>
  <c r="P100" s="1"/>
  <c r="AW99"/>
  <c r="AX99" s="1"/>
  <c r="AU99"/>
  <c r="AV99" s="1"/>
  <c r="AG99"/>
  <c r="AH99" s="1"/>
  <c r="AE99"/>
  <c r="AF99" s="1"/>
  <c r="Q99"/>
  <c r="R99" s="1"/>
  <c r="O99"/>
  <c r="P99" s="1"/>
  <c r="AW98"/>
  <c r="AX98" s="1"/>
  <c r="AU98"/>
  <c r="AV98" s="1"/>
  <c r="AG98"/>
  <c r="AH98" s="1"/>
  <c r="AE98"/>
  <c r="AF98" s="1"/>
  <c r="Q98"/>
  <c r="R98" s="1"/>
  <c r="O98"/>
  <c r="P98" s="1"/>
  <c r="AW97"/>
  <c r="AX97" s="1"/>
  <c r="AU97"/>
  <c r="AV97" s="1"/>
  <c r="AG97"/>
  <c r="AH97" s="1"/>
  <c r="AE97"/>
  <c r="AF97" s="1"/>
  <c r="Q97"/>
  <c r="R97" s="1"/>
  <c r="O97"/>
  <c r="P97" s="1"/>
  <c r="AW96"/>
  <c r="AX96" s="1"/>
  <c r="AU96"/>
  <c r="AV96" s="1"/>
  <c r="AG96"/>
  <c r="AH96" s="1"/>
  <c r="AE96"/>
  <c r="AF96" s="1"/>
  <c r="Q96"/>
  <c r="R96" s="1"/>
  <c r="O96"/>
  <c r="P96" s="1"/>
  <c r="AW95"/>
  <c r="AX95" s="1"/>
  <c r="AU95"/>
  <c r="AV95" s="1"/>
  <c r="AG95"/>
  <c r="AH95" s="1"/>
  <c r="AE95"/>
  <c r="AF95" s="1"/>
  <c r="Q95"/>
  <c r="R95" s="1"/>
  <c r="O95"/>
  <c r="P95" s="1"/>
  <c r="AW94"/>
  <c r="AX94" s="1"/>
  <c r="AU94"/>
  <c r="AV94" s="1"/>
  <c r="AG94"/>
  <c r="AH94" s="1"/>
  <c r="AE94"/>
  <c r="AF94" s="1"/>
  <c r="Q94"/>
  <c r="R94" s="1"/>
  <c r="O94"/>
  <c r="P94" s="1"/>
  <c r="AW93"/>
  <c r="AX93" s="1"/>
  <c r="AU93"/>
  <c r="AV93" s="1"/>
  <c r="AG93"/>
  <c r="AH93" s="1"/>
  <c r="AE93"/>
  <c r="AF93" s="1"/>
  <c r="Q93"/>
  <c r="R93" s="1"/>
  <c r="O93"/>
  <c r="P93" s="1"/>
  <c r="AW92"/>
  <c r="AX92" s="1"/>
  <c r="AU92"/>
  <c r="AV92" s="1"/>
  <c r="AG92"/>
  <c r="AH92" s="1"/>
  <c r="AE92"/>
  <c r="AF92" s="1"/>
  <c r="Q92"/>
  <c r="R92" s="1"/>
  <c r="O92"/>
  <c r="P92" s="1"/>
  <c r="AW91"/>
  <c r="AX91" s="1"/>
  <c r="AU91"/>
  <c r="AV91" s="1"/>
  <c r="AG91"/>
  <c r="AH91" s="1"/>
  <c r="AE91"/>
  <c r="AF91" s="1"/>
  <c r="AL91"/>
  <c r="AK91"/>
  <c r="Q91"/>
  <c r="R91" s="1"/>
  <c r="AZ91" s="1"/>
  <c r="O91"/>
  <c r="P91" s="1"/>
  <c r="AY91" s="1"/>
  <c r="AW90"/>
  <c r="AX90" s="1"/>
  <c r="AU90"/>
  <c r="AV90" s="1"/>
  <c r="AG90"/>
  <c r="AH90" s="1"/>
  <c r="AE90"/>
  <c r="AF90" s="1"/>
  <c r="AL90"/>
  <c r="AK90"/>
  <c r="Q90"/>
  <c r="R90" s="1"/>
  <c r="AZ90" s="1"/>
  <c r="O90"/>
  <c r="P90" s="1"/>
  <c r="AY90" s="1"/>
  <c r="AW89"/>
  <c r="AX89" s="1"/>
  <c r="AU89"/>
  <c r="AV89" s="1"/>
  <c r="AG89"/>
  <c r="AH89" s="1"/>
  <c r="AE89"/>
  <c r="AF89" s="1"/>
  <c r="AL89"/>
  <c r="AK89"/>
  <c r="Q89"/>
  <c r="R89" s="1"/>
  <c r="AZ89" s="1"/>
  <c r="O89"/>
  <c r="P89" s="1"/>
  <c r="AY89" s="1"/>
  <c r="AW88"/>
  <c r="AX88" s="1"/>
  <c r="AU88"/>
  <c r="AV88" s="1"/>
  <c r="AG88"/>
  <c r="AH88" s="1"/>
  <c r="AE88"/>
  <c r="AF88" s="1"/>
  <c r="AL88"/>
  <c r="AK88"/>
  <c r="Q88"/>
  <c r="R88" s="1"/>
  <c r="AZ88" s="1"/>
  <c r="O88"/>
  <c r="P88" s="1"/>
  <c r="AY88" s="1"/>
  <c r="AW87"/>
  <c r="AX87" s="1"/>
  <c r="AU87"/>
  <c r="AV87" s="1"/>
  <c r="AG87"/>
  <c r="AH87" s="1"/>
  <c r="AE87"/>
  <c r="AF87" s="1"/>
  <c r="AL87"/>
  <c r="AK87"/>
  <c r="Q87"/>
  <c r="R87" s="1"/>
  <c r="AZ87" s="1"/>
  <c r="O87"/>
  <c r="P87" s="1"/>
  <c r="AY87" s="1"/>
  <c r="AW86"/>
  <c r="AX86" s="1"/>
  <c r="AU86"/>
  <c r="AV86" s="1"/>
  <c r="AG86"/>
  <c r="AH86" s="1"/>
  <c r="AE86"/>
  <c r="AF86" s="1"/>
  <c r="AL86"/>
  <c r="AK86"/>
  <c r="Q86"/>
  <c r="R86" s="1"/>
  <c r="AZ86" s="1"/>
  <c r="O86"/>
  <c r="P86" s="1"/>
  <c r="AY86" s="1"/>
  <c r="AW85"/>
  <c r="AX85" s="1"/>
  <c r="AU85"/>
  <c r="AV85" s="1"/>
  <c r="AG85"/>
  <c r="AH85" s="1"/>
  <c r="AE85"/>
  <c r="AF85" s="1"/>
  <c r="AL85"/>
  <c r="AK85"/>
  <c r="Q85"/>
  <c r="R85" s="1"/>
  <c r="AZ85" s="1"/>
  <c r="O85"/>
  <c r="P85" s="1"/>
  <c r="AY85" s="1"/>
  <c r="AW84"/>
  <c r="AX84" s="1"/>
  <c r="AU84"/>
  <c r="AV84" s="1"/>
  <c r="AG84"/>
  <c r="AH84" s="1"/>
  <c r="AE84"/>
  <c r="AF84" s="1"/>
  <c r="AL84"/>
  <c r="AK84"/>
  <c r="Q84"/>
  <c r="R84" s="1"/>
  <c r="AZ84" s="1"/>
  <c r="O84"/>
  <c r="P84" s="1"/>
  <c r="AY84" s="1"/>
  <c r="AW83"/>
  <c r="AX83" s="1"/>
  <c r="AU83"/>
  <c r="AV83" s="1"/>
  <c r="AG83"/>
  <c r="AH83" s="1"/>
  <c r="AE83"/>
  <c r="AF83" s="1"/>
  <c r="AL83"/>
  <c r="AK83"/>
  <c r="Q83"/>
  <c r="R83" s="1"/>
  <c r="AZ83" s="1"/>
  <c r="O83"/>
  <c r="P83" s="1"/>
  <c r="AY83" s="1"/>
  <c r="AW82"/>
  <c r="AX82" s="1"/>
  <c r="AU82"/>
  <c r="AV82" s="1"/>
  <c r="AG82"/>
  <c r="AH82" s="1"/>
  <c r="AE82"/>
  <c r="AF82" s="1"/>
  <c r="AL82"/>
  <c r="AK82"/>
  <c r="Q82"/>
  <c r="R82" s="1"/>
  <c r="AZ82" s="1"/>
  <c r="O82"/>
  <c r="P82" s="1"/>
  <c r="AY82" s="1"/>
  <c r="AW81"/>
  <c r="AX81" s="1"/>
  <c r="AU81"/>
  <c r="AV81" s="1"/>
  <c r="AG81"/>
  <c r="AH81" s="1"/>
  <c r="AE81"/>
  <c r="AF81" s="1"/>
  <c r="AL81"/>
  <c r="AK81"/>
  <c r="Q81"/>
  <c r="R81" s="1"/>
  <c r="AZ81" s="1"/>
  <c r="O81"/>
  <c r="P81" s="1"/>
  <c r="AY81" s="1"/>
  <c r="AW80"/>
  <c r="AX80" s="1"/>
  <c r="AU80"/>
  <c r="AV80" s="1"/>
  <c r="AG80"/>
  <c r="AH80" s="1"/>
  <c r="AE80"/>
  <c r="AF80" s="1"/>
  <c r="AL80"/>
  <c r="AK80"/>
  <c r="Q80"/>
  <c r="R80" s="1"/>
  <c r="AZ80" s="1"/>
  <c r="O80"/>
  <c r="P80" s="1"/>
  <c r="AY80" s="1"/>
  <c r="AW79"/>
  <c r="AX79" s="1"/>
  <c r="AU79"/>
  <c r="AV79" s="1"/>
  <c r="AG79"/>
  <c r="AH79" s="1"/>
  <c r="AE79"/>
  <c r="AF79" s="1"/>
  <c r="AL79"/>
  <c r="AK79"/>
  <c r="Q79"/>
  <c r="R79" s="1"/>
  <c r="AZ79" s="1"/>
  <c r="O79"/>
  <c r="P79" s="1"/>
  <c r="AY79" s="1"/>
  <c r="AW78"/>
  <c r="AX78" s="1"/>
  <c r="AU78"/>
  <c r="AV78" s="1"/>
  <c r="AG78"/>
  <c r="AH78" s="1"/>
  <c r="AE78"/>
  <c r="AF78" s="1"/>
  <c r="AL78"/>
  <c r="AK78"/>
  <c r="Q78"/>
  <c r="R78" s="1"/>
  <c r="AZ78" s="1"/>
  <c r="O78"/>
  <c r="P78" s="1"/>
  <c r="AY78" s="1"/>
  <c r="AW77"/>
  <c r="AX77" s="1"/>
  <c r="AU77"/>
  <c r="AV77" s="1"/>
  <c r="AG77"/>
  <c r="AH77" s="1"/>
  <c r="AE77"/>
  <c r="AF77" s="1"/>
  <c r="AL77"/>
  <c r="AK77"/>
  <c r="Q77"/>
  <c r="R77" s="1"/>
  <c r="AZ77" s="1"/>
  <c r="O77"/>
  <c r="P77" s="1"/>
  <c r="AY77" s="1"/>
  <c r="AW76"/>
  <c r="AX76" s="1"/>
  <c r="AU76"/>
  <c r="AV76" s="1"/>
  <c r="AG76"/>
  <c r="AH76" s="1"/>
  <c r="AE76"/>
  <c r="AF76" s="1"/>
  <c r="AL76"/>
  <c r="AK76"/>
  <c r="Q76"/>
  <c r="R76" s="1"/>
  <c r="AZ76" s="1"/>
  <c r="O76"/>
  <c r="P76" s="1"/>
  <c r="AY76" s="1"/>
  <c r="AW75"/>
  <c r="AX75" s="1"/>
  <c r="AU75"/>
  <c r="AV75" s="1"/>
  <c r="AG75"/>
  <c r="AH75" s="1"/>
  <c r="AE75"/>
  <c r="AF75" s="1"/>
  <c r="AL75"/>
  <c r="AK75"/>
  <c r="Q75"/>
  <c r="R75" s="1"/>
  <c r="AZ75" s="1"/>
  <c r="O75"/>
  <c r="P75" s="1"/>
  <c r="AY75" s="1"/>
  <c r="AW74"/>
  <c r="AX74" s="1"/>
  <c r="AU74"/>
  <c r="AV74" s="1"/>
  <c r="AG74"/>
  <c r="AH74" s="1"/>
  <c r="AE74"/>
  <c r="AF74" s="1"/>
  <c r="AL74"/>
  <c r="AK74"/>
  <c r="Q74"/>
  <c r="R74" s="1"/>
  <c r="AZ74" s="1"/>
  <c r="O74"/>
  <c r="P74" s="1"/>
  <c r="AY74" s="1"/>
  <c r="AW73"/>
  <c r="AX73" s="1"/>
  <c r="AU73"/>
  <c r="AV73" s="1"/>
  <c r="AG73"/>
  <c r="AH73" s="1"/>
  <c r="AE73"/>
  <c r="AF73" s="1"/>
  <c r="AL73"/>
  <c r="AK73"/>
  <c r="Q73"/>
  <c r="R73" s="1"/>
  <c r="AZ73" s="1"/>
  <c r="O73"/>
  <c r="P73" s="1"/>
  <c r="AY73" s="1"/>
  <c r="AW72"/>
  <c r="AX72" s="1"/>
  <c r="AU72"/>
  <c r="AV72" s="1"/>
  <c r="AG72"/>
  <c r="AH72" s="1"/>
  <c r="AE72"/>
  <c r="AF72" s="1"/>
  <c r="AL72"/>
  <c r="AK72"/>
  <c r="Q72"/>
  <c r="R72" s="1"/>
  <c r="AZ72" s="1"/>
  <c r="O72"/>
  <c r="P72" s="1"/>
  <c r="AY72" s="1"/>
  <c r="AW71"/>
  <c r="AX71" s="1"/>
  <c r="AU71"/>
  <c r="AV71" s="1"/>
  <c r="AG71"/>
  <c r="AH71" s="1"/>
  <c r="AE71"/>
  <c r="AF71" s="1"/>
  <c r="AL71"/>
  <c r="AK71"/>
  <c r="Q71"/>
  <c r="R71" s="1"/>
  <c r="AZ71" s="1"/>
  <c r="O71"/>
  <c r="P71" s="1"/>
  <c r="AY71" s="1"/>
  <c r="AW70"/>
  <c r="AX70" s="1"/>
  <c r="AU70"/>
  <c r="AV70" s="1"/>
  <c r="AG70"/>
  <c r="AH70" s="1"/>
  <c r="AE70"/>
  <c r="AF70" s="1"/>
  <c r="AL70"/>
  <c r="AK70"/>
  <c r="Q70"/>
  <c r="R70" s="1"/>
  <c r="AZ70" s="1"/>
  <c r="O70"/>
  <c r="P70" s="1"/>
  <c r="AY70" s="1"/>
  <c r="AW69"/>
  <c r="AX69" s="1"/>
  <c r="AU69"/>
  <c r="AV69" s="1"/>
  <c r="AG69"/>
  <c r="AH69" s="1"/>
  <c r="AE69"/>
  <c r="AF69" s="1"/>
  <c r="AL69"/>
  <c r="AK69"/>
  <c r="Q69"/>
  <c r="R69" s="1"/>
  <c r="AZ69" s="1"/>
  <c r="O69"/>
  <c r="P69" s="1"/>
  <c r="AY69" s="1"/>
  <c r="AW68"/>
  <c r="AX68" s="1"/>
  <c r="AU68"/>
  <c r="AV68" s="1"/>
  <c r="AG68"/>
  <c r="AH68" s="1"/>
  <c r="AE68"/>
  <c r="AF68" s="1"/>
  <c r="AL68"/>
  <c r="AK68"/>
  <c r="Q68"/>
  <c r="R68" s="1"/>
  <c r="AZ68" s="1"/>
  <c r="O68"/>
  <c r="P68" s="1"/>
  <c r="AY68" s="1"/>
  <c r="AW67"/>
  <c r="AX67" s="1"/>
  <c r="AU67"/>
  <c r="AV67" s="1"/>
  <c r="AG67"/>
  <c r="AH67" s="1"/>
  <c r="AE67"/>
  <c r="AF67" s="1"/>
  <c r="AL67"/>
  <c r="AK67"/>
  <c r="Q67"/>
  <c r="R67" s="1"/>
  <c r="AZ67" s="1"/>
  <c r="O67"/>
  <c r="P67" s="1"/>
  <c r="AY67" s="1"/>
  <c r="AW66"/>
  <c r="AX66" s="1"/>
  <c r="AU66"/>
  <c r="AV66" s="1"/>
  <c r="AG66"/>
  <c r="AH66" s="1"/>
  <c r="AE66"/>
  <c r="AF66" s="1"/>
  <c r="AL66"/>
  <c r="AK66"/>
  <c r="Q66"/>
  <c r="R66" s="1"/>
  <c r="AZ66" s="1"/>
  <c r="O66"/>
  <c r="P66" s="1"/>
  <c r="AY66" s="1"/>
  <c r="AW65"/>
  <c r="AX65" s="1"/>
  <c r="AU65"/>
  <c r="AV65" s="1"/>
  <c r="AG65"/>
  <c r="AH65" s="1"/>
  <c r="AE65"/>
  <c r="AF65" s="1"/>
  <c r="AL65"/>
  <c r="AK65"/>
  <c r="Q65"/>
  <c r="R65" s="1"/>
  <c r="AZ65" s="1"/>
  <c r="O65"/>
  <c r="P65" s="1"/>
  <c r="AW64"/>
  <c r="AX64" s="1"/>
  <c r="AU64"/>
  <c r="AV64" s="1"/>
  <c r="AG64"/>
  <c r="AH64" s="1"/>
  <c r="AE64"/>
  <c r="AF64" s="1"/>
  <c r="AL64"/>
  <c r="AK64"/>
  <c r="Q64"/>
  <c r="R64" s="1"/>
  <c r="AZ64" s="1"/>
  <c r="O64"/>
  <c r="P64" s="1"/>
  <c r="AY64" s="1"/>
  <c r="AW63"/>
  <c r="AX63" s="1"/>
  <c r="AU63"/>
  <c r="AV63" s="1"/>
  <c r="AG63"/>
  <c r="AH63" s="1"/>
  <c r="AE63"/>
  <c r="AF63" s="1"/>
  <c r="AL63"/>
  <c r="AK63"/>
  <c r="Q63"/>
  <c r="R63" s="1"/>
  <c r="AZ63" s="1"/>
  <c r="O63"/>
  <c r="P63" s="1"/>
  <c r="AY63" s="1"/>
  <c r="AW62"/>
  <c r="AX62" s="1"/>
  <c r="AU62"/>
  <c r="AV62" s="1"/>
  <c r="AG62"/>
  <c r="AH62" s="1"/>
  <c r="AE62"/>
  <c r="AF62" s="1"/>
  <c r="AL62"/>
  <c r="AK62"/>
  <c r="Q62"/>
  <c r="R62" s="1"/>
  <c r="AZ62" s="1"/>
  <c r="O62"/>
  <c r="P62" s="1"/>
  <c r="AY62" s="1"/>
  <c r="AW61"/>
  <c r="AX61" s="1"/>
  <c r="AU61"/>
  <c r="AV61" s="1"/>
  <c r="AG61"/>
  <c r="AH61" s="1"/>
  <c r="AE61"/>
  <c r="AF61" s="1"/>
  <c r="AL61"/>
  <c r="AK61"/>
  <c r="Q61"/>
  <c r="R61" s="1"/>
  <c r="AZ61" s="1"/>
  <c r="O61"/>
  <c r="P61" s="1"/>
  <c r="AY61" s="1"/>
  <c r="AW60"/>
  <c r="AX60" s="1"/>
  <c r="AU60"/>
  <c r="AV60" s="1"/>
  <c r="AG60"/>
  <c r="AH60" s="1"/>
  <c r="AE60"/>
  <c r="AF60" s="1"/>
  <c r="AL60"/>
  <c r="AK60"/>
  <c r="Q60"/>
  <c r="R60" s="1"/>
  <c r="AZ60" s="1"/>
  <c r="O60"/>
  <c r="P60" s="1"/>
  <c r="AY60" s="1"/>
  <c r="AW59"/>
  <c r="AX59" s="1"/>
  <c r="AU59"/>
  <c r="AV59" s="1"/>
  <c r="AG59"/>
  <c r="AH59" s="1"/>
  <c r="AE59"/>
  <c r="AF59" s="1"/>
  <c r="AL59"/>
  <c r="AK59"/>
  <c r="Q59"/>
  <c r="R59" s="1"/>
  <c r="AZ59" s="1"/>
  <c r="O59"/>
  <c r="P59" s="1"/>
  <c r="AY59" s="1"/>
  <c r="AW58"/>
  <c r="AX58" s="1"/>
  <c r="AU58"/>
  <c r="AV58" s="1"/>
  <c r="AG58"/>
  <c r="AH58" s="1"/>
  <c r="AE58"/>
  <c r="AF58" s="1"/>
  <c r="AL58"/>
  <c r="AK58"/>
  <c r="Q58"/>
  <c r="R58" s="1"/>
  <c r="AZ58" s="1"/>
  <c r="O58"/>
  <c r="P58" s="1"/>
  <c r="AY58" s="1"/>
  <c r="AW57"/>
  <c r="AX57" s="1"/>
  <c r="AU57"/>
  <c r="AV57" s="1"/>
  <c r="AG57"/>
  <c r="AH57" s="1"/>
  <c r="AE57"/>
  <c r="AF57" s="1"/>
  <c r="AL57"/>
  <c r="AK57"/>
  <c r="Q57"/>
  <c r="R57" s="1"/>
  <c r="AZ57" s="1"/>
  <c r="O57"/>
  <c r="P57" s="1"/>
  <c r="AY57" s="1"/>
  <c r="AW56"/>
  <c r="AX56" s="1"/>
  <c r="AU56"/>
  <c r="AV56" s="1"/>
  <c r="AG56"/>
  <c r="AH56" s="1"/>
  <c r="AE56"/>
  <c r="AF56" s="1"/>
  <c r="AL56"/>
  <c r="AK56"/>
  <c r="Q56"/>
  <c r="R56" s="1"/>
  <c r="AZ56" s="1"/>
  <c r="O56"/>
  <c r="P56" s="1"/>
  <c r="AY56" s="1"/>
  <c r="AW55"/>
  <c r="AX55" s="1"/>
  <c r="AU55"/>
  <c r="AV55" s="1"/>
  <c r="AG55"/>
  <c r="AH55" s="1"/>
  <c r="AE55"/>
  <c r="AF55" s="1"/>
  <c r="AL55"/>
  <c r="AK55"/>
  <c r="Q55"/>
  <c r="R55" s="1"/>
  <c r="AZ55" s="1"/>
  <c r="O55"/>
  <c r="P55" s="1"/>
  <c r="AY55" s="1"/>
  <c r="AW54"/>
  <c r="AX54" s="1"/>
  <c r="AU54"/>
  <c r="AV54" s="1"/>
  <c r="AG54"/>
  <c r="AH54" s="1"/>
  <c r="AE54"/>
  <c r="AF54" s="1"/>
  <c r="AL54"/>
  <c r="AK54"/>
  <c r="Q54"/>
  <c r="R54" s="1"/>
  <c r="AZ54" s="1"/>
  <c r="O54"/>
  <c r="P54" s="1"/>
  <c r="AY54" s="1"/>
  <c r="AW53"/>
  <c r="AX53" s="1"/>
  <c r="AU53"/>
  <c r="AV53" s="1"/>
  <c r="AG53"/>
  <c r="AH53" s="1"/>
  <c r="AE53"/>
  <c r="AF53" s="1"/>
  <c r="AL53"/>
  <c r="AK53"/>
  <c r="Q53"/>
  <c r="R53" s="1"/>
  <c r="AZ53" s="1"/>
  <c r="O53"/>
  <c r="P53" s="1"/>
  <c r="AY53" s="1"/>
  <c r="AW52"/>
  <c r="AX52" s="1"/>
  <c r="AU52"/>
  <c r="AV52" s="1"/>
  <c r="AG52"/>
  <c r="AH52" s="1"/>
  <c r="AE52"/>
  <c r="AF52" s="1"/>
  <c r="AL52"/>
  <c r="AK52"/>
  <c r="Q52"/>
  <c r="R52" s="1"/>
  <c r="O52"/>
  <c r="P52" s="1"/>
  <c r="AY52" s="1"/>
  <c r="AW51"/>
  <c r="AX51" s="1"/>
  <c r="AU51"/>
  <c r="AV51" s="1"/>
  <c r="AG51"/>
  <c r="AH51" s="1"/>
  <c r="AE51"/>
  <c r="AF51" s="1"/>
  <c r="AL51"/>
  <c r="AK51"/>
  <c r="Q51"/>
  <c r="R51" s="1"/>
  <c r="AZ51" s="1"/>
  <c r="O51"/>
  <c r="P51" s="1"/>
  <c r="AY51" s="1"/>
  <c r="AW50"/>
  <c r="AX50" s="1"/>
  <c r="AU50"/>
  <c r="AV50" s="1"/>
  <c r="AG50"/>
  <c r="AH50" s="1"/>
  <c r="AE50"/>
  <c r="AF50" s="1"/>
  <c r="AL50"/>
  <c r="AK50"/>
  <c r="Q50"/>
  <c r="R50" s="1"/>
  <c r="AZ50" s="1"/>
  <c r="O50"/>
  <c r="P50" s="1"/>
  <c r="AY50" s="1"/>
  <c r="AW49"/>
  <c r="AX49" s="1"/>
  <c r="AU49"/>
  <c r="AV49" s="1"/>
  <c r="AG49"/>
  <c r="AH49" s="1"/>
  <c r="AE49"/>
  <c r="AF49" s="1"/>
  <c r="AL49"/>
  <c r="AK49"/>
  <c r="Q49"/>
  <c r="R49" s="1"/>
  <c r="AZ49" s="1"/>
  <c r="O49"/>
  <c r="P49" s="1"/>
  <c r="AY49" s="1"/>
  <c r="AW48"/>
  <c r="AX48" s="1"/>
  <c r="AU48"/>
  <c r="AV48" s="1"/>
  <c r="AG48"/>
  <c r="AH48" s="1"/>
  <c r="AE48"/>
  <c r="AF48" s="1"/>
  <c r="AL48"/>
  <c r="AK48"/>
  <c r="Q48"/>
  <c r="R48" s="1"/>
  <c r="AZ48" s="1"/>
  <c r="O48"/>
  <c r="P48" s="1"/>
  <c r="AY48" s="1"/>
  <c r="AW47"/>
  <c r="AX47" s="1"/>
  <c r="AU47"/>
  <c r="AV47" s="1"/>
  <c r="AG47"/>
  <c r="AH47" s="1"/>
  <c r="AE47"/>
  <c r="AF47" s="1"/>
  <c r="AL47"/>
  <c r="AK47"/>
  <c r="Q47"/>
  <c r="R47" s="1"/>
  <c r="AZ47" s="1"/>
  <c r="O47"/>
  <c r="P47" s="1"/>
  <c r="AY47" s="1"/>
  <c r="AW46"/>
  <c r="AX46" s="1"/>
  <c r="AU46"/>
  <c r="AV46" s="1"/>
  <c r="AG46"/>
  <c r="AH46" s="1"/>
  <c r="AE46"/>
  <c r="AF46" s="1"/>
  <c r="AL46"/>
  <c r="AK46"/>
  <c r="Q46"/>
  <c r="R46" s="1"/>
  <c r="AZ46" s="1"/>
  <c r="O46"/>
  <c r="P46" s="1"/>
  <c r="AY46" s="1"/>
  <c r="AW45"/>
  <c r="AX45" s="1"/>
  <c r="AU45"/>
  <c r="AV45" s="1"/>
  <c r="AG45"/>
  <c r="AH45" s="1"/>
  <c r="AE45"/>
  <c r="AF45" s="1"/>
  <c r="AL45"/>
  <c r="AK45"/>
  <c r="Q45"/>
  <c r="R45" s="1"/>
  <c r="AZ45" s="1"/>
  <c r="O45"/>
  <c r="P45" s="1"/>
  <c r="AY45" s="1"/>
  <c r="AW44"/>
  <c r="AX44" s="1"/>
  <c r="AU44"/>
  <c r="AV44" s="1"/>
  <c r="AG44"/>
  <c r="AH44" s="1"/>
  <c r="AE44"/>
  <c r="AF44" s="1"/>
  <c r="AL44"/>
  <c r="AK44"/>
  <c r="Q44"/>
  <c r="R44" s="1"/>
  <c r="AZ44" s="1"/>
  <c r="O44"/>
  <c r="P44" s="1"/>
  <c r="AY44" s="1"/>
  <c r="AW43"/>
  <c r="AX43" s="1"/>
  <c r="AU43"/>
  <c r="AV43" s="1"/>
  <c r="AG43"/>
  <c r="AH43" s="1"/>
  <c r="AE43"/>
  <c r="AF43" s="1"/>
  <c r="AL43"/>
  <c r="AK43"/>
  <c r="Q43"/>
  <c r="R43" s="1"/>
  <c r="AZ43" s="1"/>
  <c r="O43"/>
  <c r="P43" s="1"/>
  <c r="AY43" s="1"/>
  <c r="V43"/>
  <c r="U43"/>
  <c r="AW42"/>
  <c r="AX42" s="1"/>
  <c r="AU42"/>
  <c r="AV42" s="1"/>
  <c r="AG42"/>
  <c r="AH42" s="1"/>
  <c r="AE42"/>
  <c r="AF42" s="1"/>
  <c r="AL42"/>
  <c r="AK42"/>
  <c r="Q42"/>
  <c r="R42" s="1"/>
  <c r="AZ42" s="1"/>
  <c r="O42"/>
  <c r="P42" s="1"/>
  <c r="AY42" s="1"/>
  <c r="V42"/>
  <c r="U42"/>
  <c r="AW41"/>
  <c r="AX41" s="1"/>
  <c r="AU41"/>
  <c r="AV41" s="1"/>
  <c r="AG41"/>
  <c r="AH41" s="1"/>
  <c r="AE41"/>
  <c r="AF41" s="1"/>
  <c r="AL41"/>
  <c r="AK41"/>
  <c r="Q41"/>
  <c r="R41" s="1"/>
  <c r="AZ41" s="1"/>
  <c r="O41"/>
  <c r="P41" s="1"/>
  <c r="AY41" s="1"/>
  <c r="V41"/>
  <c r="U41"/>
  <c r="AW40"/>
  <c r="AX40" s="1"/>
  <c r="AU40"/>
  <c r="AV40" s="1"/>
  <c r="AG40"/>
  <c r="AH40" s="1"/>
  <c r="AE40"/>
  <c r="AF40" s="1"/>
  <c r="AL40"/>
  <c r="AK40"/>
  <c r="Q40"/>
  <c r="R40" s="1"/>
  <c r="AZ40" s="1"/>
  <c r="O40"/>
  <c r="P40" s="1"/>
  <c r="AY40" s="1"/>
  <c r="V40"/>
  <c r="U40"/>
  <c r="AW39"/>
  <c r="AX39" s="1"/>
  <c r="AU39"/>
  <c r="AV39" s="1"/>
  <c r="AG39"/>
  <c r="AH39" s="1"/>
  <c r="AE39"/>
  <c r="AF39" s="1"/>
  <c r="AL39"/>
  <c r="AK39"/>
  <c r="Q39"/>
  <c r="R39" s="1"/>
  <c r="AZ39" s="1"/>
  <c r="O39"/>
  <c r="P39" s="1"/>
  <c r="AY39" s="1"/>
  <c r="V39"/>
  <c r="U39"/>
  <c r="AW38"/>
  <c r="AX38" s="1"/>
  <c r="AU38"/>
  <c r="AV38" s="1"/>
  <c r="AG38"/>
  <c r="AH38" s="1"/>
  <c r="AE38"/>
  <c r="AF38" s="1"/>
  <c r="AL38"/>
  <c r="AK38"/>
  <c r="Q38"/>
  <c r="R38" s="1"/>
  <c r="AZ38" s="1"/>
  <c r="O38"/>
  <c r="P38" s="1"/>
  <c r="AY38" s="1"/>
  <c r="V38"/>
  <c r="U38"/>
  <c r="AW37"/>
  <c r="AX37" s="1"/>
  <c r="AU37"/>
  <c r="AV37" s="1"/>
  <c r="AG37"/>
  <c r="AH37" s="1"/>
  <c r="AE37"/>
  <c r="AF37" s="1"/>
  <c r="AL37"/>
  <c r="AK37"/>
  <c r="Q37"/>
  <c r="R37" s="1"/>
  <c r="AZ37" s="1"/>
  <c r="O37"/>
  <c r="P37" s="1"/>
  <c r="AY37" s="1"/>
  <c r="V37"/>
  <c r="U37"/>
  <c r="AW36"/>
  <c r="AX36" s="1"/>
  <c r="AU36"/>
  <c r="AV36" s="1"/>
  <c r="AG36"/>
  <c r="AH36" s="1"/>
  <c r="AE36"/>
  <c r="AF36" s="1"/>
  <c r="AL36"/>
  <c r="AK36"/>
  <c r="Q36"/>
  <c r="R36" s="1"/>
  <c r="AZ36" s="1"/>
  <c r="O36"/>
  <c r="P36" s="1"/>
  <c r="AY36" s="1"/>
  <c r="V36"/>
  <c r="U36"/>
  <c r="AW35"/>
  <c r="AX35" s="1"/>
  <c r="AU35"/>
  <c r="AV35" s="1"/>
  <c r="AG35"/>
  <c r="AH35" s="1"/>
  <c r="AE35"/>
  <c r="AF35" s="1"/>
  <c r="AL35"/>
  <c r="AK35"/>
  <c r="Q35"/>
  <c r="R35" s="1"/>
  <c r="AZ35" s="1"/>
  <c r="O35"/>
  <c r="P35" s="1"/>
  <c r="AY35" s="1"/>
  <c r="V35"/>
  <c r="U35"/>
  <c r="AW34"/>
  <c r="AX34" s="1"/>
  <c r="AU34"/>
  <c r="AV34" s="1"/>
  <c r="AG34"/>
  <c r="AH34" s="1"/>
  <c r="AE34"/>
  <c r="AF34" s="1"/>
  <c r="AL34"/>
  <c r="AK34"/>
  <c r="Q34"/>
  <c r="R34" s="1"/>
  <c r="AZ34" s="1"/>
  <c r="O34"/>
  <c r="P34" s="1"/>
  <c r="AY34" s="1"/>
  <c r="V34"/>
  <c r="U34"/>
  <c r="AW33"/>
  <c r="AX33" s="1"/>
  <c r="AU33"/>
  <c r="AV33" s="1"/>
  <c r="AG33"/>
  <c r="AH33" s="1"/>
  <c r="AE33"/>
  <c r="AF33" s="1"/>
  <c r="AL33"/>
  <c r="AK33"/>
  <c r="Q33"/>
  <c r="R33" s="1"/>
  <c r="AZ33" s="1"/>
  <c r="O33"/>
  <c r="P33" s="1"/>
  <c r="AY33" s="1"/>
  <c r="V33"/>
  <c r="U33"/>
  <c r="AW32"/>
  <c r="AX32" s="1"/>
  <c r="AU32"/>
  <c r="AV32" s="1"/>
  <c r="AG32"/>
  <c r="AH32" s="1"/>
  <c r="AE32"/>
  <c r="AF32" s="1"/>
  <c r="AL32"/>
  <c r="AK32"/>
  <c r="Q32"/>
  <c r="R32" s="1"/>
  <c r="AZ32" s="1"/>
  <c r="O32"/>
  <c r="P32" s="1"/>
  <c r="AY32" s="1"/>
  <c r="V32"/>
  <c r="U32"/>
  <c r="AW31"/>
  <c r="AX31" s="1"/>
  <c r="AU31"/>
  <c r="AV31" s="1"/>
  <c r="AG31"/>
  <c r="AH31" s="1"/>
  <c r="AE31"/>
  <c r="AF31" s="1"/>
  <c r="AL31"/>
  <c r="AK31"/>
  <c r="Q31"/>
  <c r="R31" s="1"/>
  <c r="AZ31" s="1"/>
  <c r="O31"/>
  <c r="P31" s="1"/>
  <c r="AY31" s="1"/>
  <c r="V31"/>
  <c r="U31"/>
  <c r="AW30"/>
  <c r="AX30" s="1"/>
  <c r="AU30"/>
  <c r="AV30" s="1"/>
  <c r="AG30"/>
  <c r="AH30" s="1"/>
  <c r="AE30"/>
  <c r="AF30" s="1"/>
  <c r="AL30"/>
  <c r="AK30"/>
  <c r="Q30"/>
  <c r="R30" s="1"/>
  <c r="AZ30" s="1"/>
  <c r="O30"/>
  <c r="P30" s="1"/>
  <c r="AY30" s="1"/>
  <c r="V30"/>
  <c r="U30"/>
  <c r="AW29"/>
  <c r="AX29" s="1"/>
  <c r="AU29"/>
  <c r="AV29" s="1"/>
  <c r="AG29"/>
  <c r="AH29" s="1"/>
  <c r="AE29"/>
  <c r="AF29" s="1"/>
  <c r="AL29"/>
  <c r="AK29"/>
  <c r="Q29"/>
  <c r="R29" s="1"/>
  <c r="AZ29" s="1"/>
  <c r="O29"/>
  <c r="P29" s="1"/>
  <c r="AY29" s="1"/>
  <c r="V29"/>
  <c r="U29"/>
  <c r="AW28"/>
  <c r="AX28" s="1"/>
  <c r="AU28"/>
  <c r="AV28" s="1"/>
  <c r="AG28"/>
  <c r="AH28" s="1"/>
  <c r="AE28"/>
  <c r="AF28" s="1"/>
  <c r="AL28"/>
  <c r="AK28"/>
  <c r="Q28"/>
  <c r="R28" s="1"/>
  <c r="AZ28" s="1"/>
  <c r="O28"/>
  <c r="P28" s="1"/>
  <c r="AY28" s="1"/>
  <c r="V28"/>
  <c r="U28"/>
  <c r="AW27"/>
  <c r="AX27" s="1"/>
  <c r="AU27"/>
  <c r="AV27" s="1"/>
  <c r="AG27"/>
  <c r="AH27" s="1"/>
  <c r="AE27"/>
  <c r="AF27" s="1"/>
  <c r="AL27"/>
  <c r="AK27"/>
  <c r="Q27"/>
  <c r="R27" s="1"/>
  <c r="AZ27" s="1"/>
  <c r="O27"/>
  <c r="P27" s="1"/>
  <c r="AY27" s="1"/>
  <c r="V27"/>
  <c r="U27"/>
  <c r="AW26"/>
  <c r="AX26" s="1"/>
  <c r="AU26"/>
  <c r="AV26" s="1"/>
  <c r="AG26"/>
  <c r="AH26" s="1"/>
  <c r="AE26"/>
  <c r="AF26" s="1"/>
  <c r="AL26"/>
  <c r="AK26"/>
  <c r="Q26"/>
  <c r="R26" s="1"/>
  <c r="AZ26" s="1"/>
  <c r="O26"/>
  <c r="P26" s="1"/>
  <c r="AY26" s="1"/>
  <c r="V26"/>
  <c r="U26"/>
  <c r="AW25"/>
  <c r="AX25" s="1"/>
  <c r="AU25"/>
  <c r="AV25" s="1"/>
  <c r="AG25"/>
  <c r="AH25" s="1"/>
  <c r="AE25"/>
  <c r="AF25" s="1"/>
  <c r="AL25"/>
  <c r="AK25"/>
  <c r="Q25"/>
  <c r="R25" s="1"/>
  <c r="AZ25" s="1"/>
  <c r="O25"/>
  <c r="P25" s="1"/>
  <c r="AY25" s="1"/>
  <c r="V25"/>
  <c r="U25"/>
  <c r="AW24"/>
  <c r="AX24" s="1"/>
  <c r="AU24"/>
  <c r="AV24" s="1"/>
  <c r="AG24"/>
  <c r="AH24" s="1"/>
  <c r="AE24"/>
  <c r="AF24" s="1"/>
  <c r="AL24"/>
  <c r="AK24"/>
  <c r="Q24"/>
  <c r="R24" s="1"/>
  <c r="AZ24" s="1"/>
  <c r="O24"/>
  <c r="P24" s="1"/>
  <c r="AY24" s="1"/>
  <c r="V24"/>
  <c r="U24"/>
  <c r="AW23"/>
  <c r="AX23" s="1"/>
  <c r="AU23"/>
  <c r="AV23" s="1"/>
  <c r="AG23"/>
  <c r="AH23" s="1"/>
  <c r="AE23"/>
  <c r="AF23" s="1"/>
  <c r="AL23"/>
  <c r="AK23"/>
  <c r="Q23"/>
  <c r="R23" s="1"/>
  <c r="AZ23" s="1"/>
  <c r="O23"/>
  <c r="P23" s="1"/>
  <c r="AY23" s="1"/>
  <c r="V23"/>
  <c r="U23"/>
  <c r="AW22"/>
  <c r="AX22" s="1"/>
  <c r="AU22"/>
  <c r="AV22" s="1"/>
  <c r="AG22"/>
  <c r="AH22" s="1"/>
  <c r="AE22"/>
  <c r="AF22" s="1"/>
  <c r="AL22"/>
  <c r="AK22"/>
  <c r="Q22"/>
  <c r="R22" s="1"/>
  <c r="AZ22" s="1"/>
  <c r="O22"/>
  <c r="P22" s="1"/>
  <c r="AY22" s="1"/>
  <c r="V22"/>
  <c r="U22"/>
  <c r="AW21"/>
  <c r="AX21" s="1"/>
  <c r="AU21"/>
  <c r="AV21" s="1"/>
  <c r="AG21"/>
  <c r="AH21" s="1"/>
  <c r="AE21"/>
  <c r="AF21" s="1"/>
  <c r="AL21"/>
  <c r="AK21"/>
  <c r="Q21"/>
  <c r="R21" s="1"/>
  <c r="AZ21" s="1"/>
  <c r="O21"/>
  <c r="P21" s="1"/>
  <c r="AY21" s="1"/>
  <c r="V21"/>
  <c r="U21"/>
  <c r="AW20"/>
  <c r="AX20" s="1"/>
  <c r="AU20"/>
  <c r="AV20" s="1"/>
  <c r="AG20"/>
  <c r="AH20" s="1"/>
  <c r="AE20"/>
  <c r="AF20" s="1"/>
  <c r="AL20"/>
  <c r="AK20"/>
  <c r="Q20"/>
  <c r="R20" s="1"/>
  <c r="AZ20" s="1"/>
  <c r="O20"/>
  <c r="P20" s="1"/>
  <c r="AY20" s="1"/>
  <c r="V20"/>
  <c r="U20"/>
  <c r="AW19"/>
  <c r="AX19" s="1"/>
  <c r="AU19"/>
  <c r="AV19" s="1"/>
  <c r="AG19"/>
  <c r="AH19" s="1"/>
  <c r="AE19"/>
  <c r="AF19" s="1"/>
  <c r="AL19"/>
  <c r="AK19"/>
  <c r="Q19"/>
  <c r="R19" s="1"/>
  <c r="AZ19" s="1"/>
  <c r="O19"/>
  <c r="P19" s="1"/>
  <c r="AY19" s="1"/>
  <c r="V19"/>
  <c r="U19"/>
  <c r="AW18"/>
  <c r="AX18" s="1"/>
  <c r="AU18"/>
  <c r="AV18" s="1"/>
  <c r="AG18"/>
  <c r="AH18" s="1"/>
  <c r="AE18"/>
  <c r="AF18" s="1"/>
  <c r="AL18"/>
  <c r="AK18"/>
  <c r="Q18"/>
  <c r="R18" s="1"/>
  <c r="AZ18" s="1"/>
  <c r="O18"/>
  <c r="P18" s="1"/>
  <c r="AY18" s="1"/>
  <c r="V18"/>
  <c r="U18"/>
  <c r="AW17"/>
  <c r="AX17" s="1"/>
  <c r="AU17"/>
  <c r="AV17" s="1"/>
  <c r="AG17"/>
  <c r="AH17" s="1"/>
  <c r="AE17"/>
  <c r="AF17" s="1"/>
  <c r="AL17"/>
  <c r="AK17"/>
  <c r="Q17"/>
  <c r="R17" s="1"/>
  <c r="AZ17" s="1"/>
  <c r="O17"/>
  <c r="P17" s="1"/>
  <c r="AY17" s="1"/>
  <c r="V17"/>
  <c r="U17"/>
  <c r="AW16"/>
  <c r="AX16" s="1"/>
  <c r="AU16"/>
  <c r="AV16" s="1"/>
  <c r="AG16"/>
  <c r="AH16" s="1"/>
  <c r="AE16"/>
  <c r="AF16" s="1"/>
  <c r="AL16"/>
  <c r="AK16"/>
  <c r="Q16"/>
  <c r="R16" s="1"/>
  <c r="AZ16" s="1"/>
  <c r="O16"/>
  <c r="P16" s="1"/>
  <c r="AY16" s="1"/>
  <c r="V16"/>
  <c r="U16"/>
  <c r="AW15"/>
  <c r="AX15" s="1"/>
  <c r="AU15"/>
  <c r="AV15" s="1"/>
  <c r="AG15"/>
  <c r="AH15" s="1"/>
  <c r="AE15"/>
  <c r="AF15" s="1"/>
  <c r="AL15"/>
  <c r="AK15"/>
  <c r="Q15"/>
  <c r="R15" s="1"/>
  <c r="AZ15" s="1"/>
  <c r="O15"/>
  <c r="P15" s="1"/>
  <c r="AY15" s="1"/>
  <c r="V15"/>
  <c r="U15"/>
  <c r="AW14"/>
  <c r="AX14" s="1"/>
  <c r="AU14"/>
  <c r="AV14" s="1"/>
  <c r="AG14"/>
  <c r="AH14" s="1"/>
  <c r="AE14"/>
  <c r="AF14" s="1"/>
  <c r="AL14"/>
  <c r="AK14"/>
  <c r="Q14"/>
  <c r="R14" s="1"/>
  <c r="AZ14" s="1"/>
  <c r="O14"/>
  <c r="P14" s="1"/>
  <c r="AY14" s="1"/>
  <c r="V14"/>
  <c r="U14"/>
  <c r="AW13"/>
  <c r="AX13" s="1"/>
  <c r="AU13"/>
  <c r="AV13" s="1"/>
  <c r="AG13"/>
  <c r="AH13" s="1"/>
  <c r="AE13"/>
  <c r="AF13" s="1"/>
  <c r="AL13"/>
  <c r="AK13"/>
  <c r="Q13"/>
  <c r="R13" s="1"/>
  <c r="AZ13" s="1"/>
  <c r="O13"/>
  <c r="P13" s="1"/>
  <c r="AY13" s="1"/>
  <c r="V13"/>
  <c r="U13"/>
  <c r="AW12"/>
  <c r="AX12" s="1"/>
  <c r="AU12"/>
  <c r="AV12" s="1"/>
  <c r="AG12"/>
  <c r="AH12" s="1"/>
  <c r="AE12"/>
  <c r="AF12" s="1"/>
  <c r="AL12"/>
  <c r="AK12"/>
  <c r="Q12"/>
  <c r="R12" s="1"/>
  <c r="AZ12" s="1"/>
  <c r="O12"/>
  <c r="P12" s="1"/>
  <c r="AY12" s="1"/>
  <c r="V12"/>
  <c r="U12"/>
  <c r="AW11"/>
  <c r="AX11" s="1"/>
  <c r="AU11"/>
  <c r="AV11" s="1"/>
  <c r="AG11"/>
  <c r="AH11" s="1"/>
  <c r="AE11"/>
  <c r="AF11" s="1"/>
  <c r="AL11"/>
  <c r="AK11"/>
  <c r="Q11"/>
  <c r="R11" s="1"/>
  <c r="AZ11" s="1"/>
  <c r="O11"/>
  <c r="P11" s="1"/>
  <c r="AY11" s="1"/>
  <c r="V11"/>
  <c r="U11"/>
  <c r="AW10"/>
  <c r="AX10" s="1"/>
  <c r="AU10"/>
  <c r="AV10" s="1"/>
  <c r="AG10"/>
  <c r="AH10" s="1"/>
  <c r="AE10"/>
  <c r="AF10" s="1"/>
  <c r="AL10"/>
  <c r="AK10"/>
  <c r="Q10"/>
  <c r="R10" s="1"/>
  <c r="AZ10" s="1"/>
  <c r="O10"/>
  <c r="P10" s="1"/>
  <c r="AY10" s="1"/>
  <c r="V10"/>
  <c r="U10"/>
  <c r="AW9"/>
  <c r="AX9" s="1"/>
  <c r="AU9"/>
  <c r="AV9" s="1"/>
  <c r="AG9"/>
  <c r="AH9" s="1"/>
  <c r="AE9"/>
  <c r="AF9" s="1"/>
  <c r="AL9"/>
  <c r="AK9"/>
  <c r="Q9"/>
  <c r="R9" s="1"/>
  <c r="AZ9" s="1"/>
  <c r="O9"/>
  <c r="P9" s="1"/>
  <c r="AY9" s="1"/>
  <c r="V9"/>
  <c r="U9"/>
  <c r="AW8"/>
  <c r="AX8" s="1"/>
  <c r="AU8"/>
  <c r="AV8" s="1"/>
  <c r="AG8"/>
  <c r="AH8" s="1"/>
  <c r="AE8"/>
  <c r="AF8" s="1"/>
  <c r="AL8"/>
  <c r="AK8"/>
  <c r="Q8"/>
  <c r="R8" s="1"/>
  <c r="AZ8" s="1"/>
  <c r="O8"/>
  <c r="P8" s="1"/>
  <c r="AY8" s="1"/>
  <c r="V8"/>
  <c r="U8"/>
  <c r="AW7"/>
  <c r="AX7" s="1"/>
  <c r="AU7"/>
  <c r="AV7" s="1"/>
  <c r="AG7"/>
  <c r="AH7" s="1"/>
  <c r="AE7"/>
  <c r="AF7" s="1"/>
  <c r="AL7"/>
  <c r="AK7"/>
  <c r="Q7"/>
  <c r="R7" s="1"/>
  <c r="AZ7" s="1"/>
  <c r="O7"/>
  <c r="P7" s="1"/>
  <c r="AY7" s="1"/>
  <c r="V7"/>
  <c r="U7"/>
  <c r="AW6"/>
  <c r="AX6" s="1"/>
  <c r="AU6"/>
  <c r="AV6" s="1"/>
  <c r="AG6"/>
  <c r="AH6" s="1"/>
  <c r="AE6"/>
  <c r="AF6" s="1"/>
  <c r="AL6"/>
  <c r="AK6"/>
  <c r="Q6"/>
  <c r="R6" s="1"/>
  <c r="AZ6" s="1"/>
  <c r="O6"/>
  <c r="P6" s="1"/>
  <c r="V6"/>
  <c r="U6"/>
  <c r="AW5"/>
  <c r="AX5" s="1"/>
  <c r="AU5"/>
  <c r="AV5" s="1"/>
  <c r="AG5"/>
  <c r="AH5" s="1"/>
  <c r="AE5"/>
  <c r="AF5" s="1"/>
  <c r="AL5"/>
  <c r="AK5"/>
  <c r="R5"/>
  <c r="AZ5" s="1"/>
  <c r="P5"/>
  <c r="AY5" s="1"/>
  <c r="V5"/>
  <c r="U5"/>
  <c r="AQ123" i="16"/>
  <c r="AP123"/>
  <c r="AO123"/>
  <c r="AN123"/>
  <c r="AM123"/>
  <c r="AL123"/>
  <c r="AK123"/>
  <c r="AJ123"/>
  <c r="AI123"/>
  <c r="AH123"/>
  <c r="AG123"/>
  <c r="AF123"/>
  <c r="AE123"/>
  <c r="AD123"/>
  <c r="AC123"/>
  <c r="AB123"/>
  <c r="AA123"/>
  <c r="AQ120"/>
  <c r="AQ124" s="1"/>
  <c r="AP120"/>
  <c r="AO120"/>
  <c r="AO124" s="1"/>
  <c r="AN120"/>
  <c r="AM120"/>
  <c r="AM124" s="1"/>
  <c r="AL120"/>
  <c r="AK120"/>
  <c r="AK124" s="1"/>
  <c r="AJ120"/>
  <c r="AI120"/>
  <c r="AI124" s="1"/>
  <c r="AH120"/>
  <c r="AG120"/>
  <c r="AG124" s="1"/>
  <c r="AF120"/>
  <c r="AE120"/>
  <c r="AE124" s="1"/>
  <c r="AD120"/>
  <c r="AC120"/>
  <c r="AC124" s="1"/>
  <c r="AB120"/>
  <c r="AA120"/>
  <c r="AA124" s="1"/>
  <c r="AQ116"/>
  <c r="AP116"/>
  <c r="AO116"/>
  <c r="AN116"/>
  <c r="AM116"/>
  <c r="AL116"/>
  <c r="AK116"/>
  <c r="AJ116"/>
  <c r="AI116"/>
  <c r="AH116"/>
  <c r="AG116"/>
  <c r="AF116"/>
  <c r="AE116"/>
  <c r="AD116"/>
  <c r="AQ113"/>
  <c r="AQ117" s="1"/>
  <c r="AP113"/>
  <c r="AP117" s="1"/>
  <c r="AO113"/>
  <c r="AO117" s="1"/>
  <c r="Y213" i="14" s="1"/>
  <c r="AN113" i="16"/>
  <c r="AN117" s="1"/>
  <c r="W213" i="14" s="1"/>
  <c r="AM113" i="16"/>
  <c r="AM117" s="1"/>
  <c r="U213" i="14" s="1"/>
  <c r="AL113" i="16"/>
  <c r="AL117" s="1"/>
  <c r="S213" i="14" s="1"/>
  <c r="AK113" i="16"/>
  <c r="AK117" s="1"/>
  <c r="AA183" i="14" s="1"/>
  <c r="AJ113" i="16"/>
  <c r="AJ117" s="1"/>
  <c r="Y183" i="14" s="1"/>
  <c r="AI113" i="16"/>
  <c r="AI117" s="1"/>
  <c r="W183" i="14" s="1"/>
  <c r="AH113" i="16"/>
  <c r="AH117" s="1"/>
  <c r="U183" i="14" s="1"/>
  <c r="AG113" i="16"/>
  <c r="AG117" s="1"/>
  <c r="S183" i="14" s="1"/>
  <c r="AF113" i="16"/>
  <c r="AF117" s="1"/>
  <c r="AE29" i="14" s="1"/>
  <c r="AE113" i="16"/>
  <c r="AE117" s="1"/>
  <c r="AC29" i="14" s="1"/>
  <c r="AD113" i="16"/>
  <c r="AD117" s="1"/>
  <c r="AA29" i="14" s="1"/>
  <c r="W29"/>
  <c r="S29"/>
  <c r="AQ109" i="16"/>
  <c r="AP109"/>
  <c r="AO109"/>
  <c r="AN109"/>
  <c r="AM109"/>
  <c r="AL109"/>
  <c r="AK109"/>
  <c r="AJ109"/>
  <c r="AI109"/>
  <c r="AH109"/>
  <c r="AG109"/>
  <c r="AF109"/>
  <c r="AE109"/>
  <c r="AD109"/>
  <c r="AQ106"/>
  <c r="AQ110" s="1"/>
  <c r="AP106"/>
  <c r="AP110" s="1"/>
  <c r="AO106"/>
  <c r="AO110" s="1"/>
  <c r="Y212" i="14" s="1"/>
  <c r="AN106" i="16"/>
  <c r="AN110" s="1"/>
  <c r="W212" i="14" s="1"/>
  <c r="AM106" i="16"/>
  <c r="AM110" s="1"/>
  <c r="U212" i="14" s="1"/>
  <c r="AL106" i="16"/>
  <c r="AL110" s="1"/>
  <c r="S212" i="14" s="1"/>
  <c r="AK106" i="16"/>
  <c r="AK110" s="1"/>
  <c r="AA182" i="14" s="1"/>
  <c r="AJ106" i="16"/>
  <c r="AJ110" s="1"/>
  <c r="Y182" i="14" s="1"/>
  <c r="AI106" i="16"/>
  <c r="AI110" s="1"/>
  <c r="W182" i="14" s="1"/>
  <c r="AH106" i="16"/>
  <c r="AH110" s="1"/>
  <c r="U182" i="14" s="1"/>
  <c r="AG106" i="16"/>
  <c r="AG110" s="1"/>
  <c r="S182" i="14" s="1"/>
  <c r="AF106" i="16"/>
  <c r="AF110" s="1"/>
  <c r="AE28" i="14" s="1"/>
  <c r="AE106" i="16"/>
  <c r="AE110" s="1"/>
  <c r="AC28" i="14" s="1"/>
  <c r="AD106" i="16"/>
  <c r="AD110" s="1"/>
  <c r="AA28" i="14" s="1"/>
  <c r="Y28"/>
  <c r="U28"/>
  <c r="S28"/>
  <c r="AQ102" i="16"/>
  <c r="AP102"/>
  <c r="AO102"/>
  <c r="AN102"/>
  <c r="AM102"/>
  <c r="AL102"/>
  <c r="AK102"/>
  <c r="AJ102"/>
  <c r="AI102"/>
  <c r="AH102"/>
  <c r="AG102"/>
  <c r="AF102"/>
  <c r="AE102"/>
  <c r="AD102"/>
  <c r="AQ99"/>
  <c r="AQ103" s="1"/>
  <c r="AP99"/>
  <c r="AP103" s="1"/>
  <c r="AO99"/>
  <c r="AO103" s="1"/>
  <c r="Y211" i="14" s="1"/>
  <c r="AN99" i="16"/>
  <c r="AN103" s="1"/>
  <c r="W211" i="14" s="1"/>
  <c r="AM99" i="16"/>
  <c r="AM103" s="1"/>
  <c r="U211" i="14" s="1"/>
  <c r="AL99" i="16"/>
  <c r="AL103" s="1"/>
  <c r="S211" i="14" s="1"/>
  <c r="AK99" i="16"/>
  <c r="AK103" s="1"/>
  <c r="AA181" i="14" s="1"/>
  <c r="AJ99" i="16"/>
  <c r="AJ103" s="1"/>
  <c r="Y181" i="14" s="1"/>
  <c r="AI99" i="16"/>
  <c r="AI103" s="1"/>
  <c r="W181" i="14" s="1"/>
  <c r="AH99" i="16"/>
  <c r="AH103" s="1"/>
  <c r="U181" i="14" s="1"/>
  <c r="AG99" i="16"/>
  <c r="AG103" s="1"/>
  <c r="S181" i="14" s="1"/>
  <c r="AF99" i="16"/>
  <c r="AF103" s="1"/>
  <c r="AE27" i="14" s="1"/>
  <c r="AE99" i="16"/>
  <c r="AE103" s="1"/>
  <c r="AC27" i="14" s="1"/>
  <c r="AD99" i="16"/>
  <c r="AD103" s="1"/>
  <c r="AA27" i="14" s="1"/>
  <c r="W27"/>
  <c r="S27"/>
  <c r="AQ95" i="16"/>
  <c r="AP95"/>
  <c r="AO95"/>
  <c r="AN95"/>
  <c r="AM95"/>
  <c r="AL95"/>
  <c r="AK95"/>
  <c r="AJ95"/>
  <c r="AI95"/>
  <c r="AH95"/>
  <c r="AG95"/>
  <c r="AF95"/>
  <c r="AE95"/>
  <c r="AD95"/>
  <c r="AQ92"/>
  <c r="AQ96" s="1"/>
  <c r="AP92"/>
  <c r="AP96" s="1"/>
  <c r="AO92"/>
  <c r="AO96" s="1"/>
  <c r="Y210" i="14" s="1"/>
  <c r="AN92" i="16"/>
  <c r="AN96" s="1"/>
  <c r="W210" i="14" s="1"/>
  <c r="AM92" i="16"/>
  <c r="AM96" s="1"/>
  <c r="U210" i="14" s="1"/>
  <c r="AL92" i="16"/>
  <c r="AL96" s="1"/>
  <c r="S210" i="14" s="1"/>
  <c r="AK92" i="16"/>
  <c r="AK96" s="1"/>
  <c r="AA180" i="14" s="1"/>
  <c r="AJ92" i="16"/>
  <c r="AJ96" s="1"/>
  <c r="Y180" i="14" s="1"/>
  <c r="AI92" i="16"/>
  <c r="AI96" s="1"/>
  <c r="W180" i="14" s="1"/>
  <c r="AH92" i="16"/>
  <c r="AH96" s="1"/>
  <c r="U180" i="14" s="1"/>
  <c r="AG92" i="16"/>
  <c r="AG96" s="1"/>
  <c r="S180" i="14" s="1"/>
  <c r="AF92" i="16"/>
  <c r="AF96" s="1"/>
  <c r="AE26" i="14" s="1"/>
  <c r="AE92" i="16"/>
  <c r="AE96" s="1"/>
  <c r="AC26" i="14" s="1"/>
  <c r="AD92" i="16"/>
  <c r="AD96" s="1"/>
  <c r="AA26" i="14" s="1"/>
  <c r="Y26"/>
  <c r="U26"/>
  <c r="S26"/>
  <c r="AQ88" i="16"/>
  <c r="AP88"/>
  <c r="AO88"/>
  <c r="AN88"/>
  <c r="AM88"/>
  <c r="AL88"/>
  <c r="AK88"/>
  <c r="AJ88"/>
  <c r="AI88"/>
  <c r="AH88"/>
  <c r="AG88"/>
  <c r="AF88"/>
  <c r="AE88"/>
  <c r="AD88"/>
  <c r="AQ85"/>
  <c r="AQ89" s="1"/>
  <c r="AP85"/>
  <c r="AP89" s="1"/>
  <c r="AO85"/>
  <c r="AO89" s="1"/>
  <c r="Y208" i="14" s="1"/>
  <c r="AN85" i="16"/>
  <c r="AN89" s="1"/>
  <c r="W208" i="14" s="1"/>
  <c r="AM85" i="16"/>
  <c r="AM89" s="1"/>
  <c r="U208" i="14" s="1"/>
  <c r="AL85" i="16"/>
  <c r="AL89" s="1"/>
  <c r="S208" i="14" s="1"/>
  <c r="AK85" i="16"/>
  <c r="AK89" s="1"/>
  <c r="AA178" i="14" s="1"/>
  <c r="AJ85" i="16"/>
  <c r="AJ89" s="1"/>
  <c r="Y178" i="14" s="1"/>
  <c r="AI85" i="16"/>
  <c r="AI89" s="1"/>
  <c r="W178" i="14" s="1"/>
  <c r="AH85" i="16"/>
  <c r="AH89" s="1"/>
  <c r="U178" i="14" s="1"/>
  <c r="AG85" i="16"/>
  <c r="AG89" s="1"/>
  <c r="S178" i="14" s="1"/>
  <c r="AF85" i="16"/>
  <c r="AF89" s="1"/>
  <c r="AE24" i="14" s="1"/>
  <c r="AE85" i="16"/>
  <c r="AE89" s="1"/>
  <c r="AC24" i="14" s="1"/>
  <c r="AD85" i="16"/>
  <c r="AD89" s="1"/>
  <c r="AA24" i="14" s="1"/>
  <c r="W24"/>
  <c r="S24"/>
  <c r="AQ81" i="16"/>
  <c r="AP81"/>
  <c r="AO81"/>
  <c r="AN81"/>
  <c r="AM81"/>
  <c r="AL81"/>
  <c r="AK81"/>
  <c r="AJ81"/>
  <c r="AI81"/>
  <c r="AH81"/>
  <c r="AG81"/>
  <c r="AF81"/>
  <c r="AE81"/>
  <c r="AD81"/>
  <c r="AQ78"/>
  <c r="AQ82" s="1"/>
  <c r="AP78"/>
  <c r="AP82" s="1"/>
  <c r="AO78"/>
  <c r="AO82" s="1"/>
  <c r="Y207" i="14" s="1"/>
  <c r="AN78" i="16"/>
  <c r="AN82" s="1"/>
  <c r="W207" i="14" s="1"/>
  <c r="AM78" i="16"/>
  <c r="AM82" s="1"/>
  <c r="U207" i="14" s="1"/>
  <c r="AL78" i="16"/>
  <c r="AL82" s="1"/>
  <c r="S207" i="14" s="1"/>
  <c r="AK78" i="16"/>
  <c r="AK82" s="1"/>
  <c r="AA177" i="14" s="1"/>
  <c r="AJ78" i="16"/>
  <c r="AJ82" s="1"/>
  <c r="Y177" i="14" s="1"/>
  <c r="AI78" i="16"/>
  <c r="AI82" s="1"/>
  <c r="W177" i="14" s="1"/>
  <c r="AH78" i="16"/>
  <c r="AH82" s="1"/>
  <c r="U177" i="14" s="1"/>
  <c r="AG78" i="16"/>
  <c r="AG82" s="1"/>
  <c r="S177" i="14" s="1"/>
  <c r="AF78" i="16"/>
  <c r="AF82" s="1"/>
  <c r="AE23" i="14" s="1"/>
  <c r="AE78" i="16"/>
  <c r="AE82" s="1"/>
  <c r="AC23" i="14" s="1"/>
  <c r="AD78" i="16"/>
  <c r="AD82" s="1"/>
  <c r="AA23" i="14" s="1"/>
  <c r="Y23"/>
  <c r="U23"/>
  <c r="S23"/>
  <c r="AQ74" i="16"/>
  <c r="AP74"/>
  <c r="AO74"/>
  <c r="AN74"/>
  <c r="AM74"/>
  <c r="AL74"/>
  <c r="AK74"/>
  <c r="AJ74"/>
  <c r="AI74"/>
  <c r="AH74"/>
  <c r="AG74"/>
  <c r="AF74"/>
  <c r="AE74"/>
  <c r="AD74"/>
  <c r="AQ71"/>
  <c r="AQ75" s="1"/>
  <c r="AP71"/>
  <c r="AP75" s="1"/>
  <c r="AO71"/>
  <c r="AO75" s="1"/>
  <c r="Y206" i="14" s="1"/>
  <c r="AN71" i="16"/>
  <c r="AN75" s="1"/>
  <c r="W206" i="14" s="1"/>
  <c r="AM71" i="16"/>
  <c r="AM75" s="1"/>
  <c r="U206" i="14" s="1"/>
  <c r="AL71" i="16"/>
  <c r="AL75" s="1"/>
  <c r="S206" i="14" s="1"/>
  <c r="AK71" i="16"/>
  <c r="AK75" s="1"/>
  <c r="AA176" i="14" s="1"/>
  <c r="AJ71" i="16"/>
  <c r="AJ75" s="1"/>
  <c r="Y176" i="14" s="1"/>
  <c r="AI71" i="16"/>
  <c r="AI75" s="1"/>
  <c r="W176" i="14" s="1"/>
  <c r="AH71" i="16"/>
  <c r="AH75" s="1"/>
  <c r="U176" i="14" s="1"/>
  <c r="AG71" i="16"/>
  <c r="AG75" s="1"/>
  <c r="S176" i="14" s="1"/>
  <c r="AF71" i="16"/>
  <c r="AF75" s="1"/>
  <c r="AE22" i="14" s="1"/>
  <c r="AE71" i="16"/>
  <c r="AE75" s="1"/>
  <c r="AC22" i="14" s="1"/>
  <c r="AD71" i="16"/>
  <c r="AD75" s="1"/>
  <c r="AA22" i="14" s="1"/>
  <c r="W22"/>
  <c r="S22"/>
  <c r="AQ67" i="16"/>
  <c r="AP67"/>
  <c r="AO67"/>
  <c r="AN67"/>
  <c r="AM67"/>
  <c r="AL67"/>
  <c r="AK67"/>
  <c r="AJ67"/>
  <c r="AI67"/>
  <c r="AH67"/>
  <c r="AG67"/>
  <c r="AF67"/>
  <c r="AE67"/>
  <c r="AD67"/>
  <c r="AQ64"/>
  <c r="AQ68" s="1"/>
  <c r="AP64"/>
  <c r="AP68" s="1"/>
  <c r="AO64"/>
  <c r="AO68" s="1"/>
  <c r="Y205" i="14" s="1"/>
  <c r="AN64" i="16"/>
  <c r="AN68" s="1"/>
  <c r="W205" i="14" s="1"/>
  <c r="AM64" i="16"/>
  <c r="AM68" s="1"/>
  <c r="U205" i="14" s="1"/>
  <c r="AL64" i="16"/>
  <c r="AL68" s="1"/>
  <c r="S205" i="14" s="1"/>
  <c r="AK64" i="16"/>
  <c r="AK68" s="1"/>
  <c r="AA175" i="14" s="1"/>
  <c r="AJ64" i="16"/>
  <c r="AJ68" s="1"/>
  <c r="Y175" i="14" s="1"/>
  <c r="AI64" i="16"/>
  <c r="AI68" s="1"/>
  <c r="W175" i="14" s="1"/>
  <c r="AH64" i="16"/>
  <c r="AH68" s="1"/>
  <c r="U175" i="14" s="1"/>
  <c r="AG64" i="16"/>
  <c r="AG68" s="1"/>
  <c r="S175" i="14" s="1"/>
  <c r="AF64" i="16"/>
  <c r="AF68" s="1"/>
  <c r="AE21" i="14" s="1"/>
  <c r="AE64" i="16"/>
  <c r="AE68" s="1"/>
  <c r="AC21" i="14" s="1"/>
  <c r="AD64" i="16"/>
  <c r="AD68" s="1"/>
  <c r="AA21" i="14" s="1"/>
  <c r="Y21"/>
  <c r="U21"/>
  <c r="S21"/>
  <c r="AQ60" i="16"/>
  <c r="AP60"/>
  <c r="AO60"/>
  <c r="AN60"/>
  <c r="AM60"/>
  <c r="AL60"/>
  <c r="AK60"/>
  <c r="AJ60"/>
  <c r="AI60"/>
  <c r="AH60"/>
  <c r="AG60"/>
  <c r="AF60"/>
  <c r="AE60"/>
  <c r="AD60"/>
  <c r="AQ57"/>
  <c r="AQ61" s="1"/>
  <c r="AP57"/>
  <c r="AP61" s="1"/>
  <c r="AO57"/>
  <c r="AO61" s="1"/>
  <c r="Y203" i="14" s="1"/>
  <c r="AN57" i="16"/>
  <c r="AN61" s="1"/>
  <c r="W203" i="14" s="1"/>
  <c r="AM57" i="16"/>
  <c r="AM61" s="1"/>
  <c r="U203" i="14" s="1"/>
  <c r="AL57" i="16"/>
  <c r="AL61" s="1"/>
  <c r="S203" i="14" s="1"/>
  <c r="AK57" i="16"/>
  <c r="AK61" s="1"/>
  <c r="AA173" i="14" s="1"/>
  <c r="AJ57" i="16"/>
  <c r="AJ61" s="1"/>
  <c r="Y173" i="14" s="1"/>
  <c r="AI57" i="16"/>
  <c r="AI61" s="1"/>
  <c r="W173" i="14" s="1"/>
  <c r="AH57" i="16"/>
  <c r="AH61" s="1"/>
  <c r="U173" i="14" s="1"/>
  <c r="AG57" i="16"/>
  <c r="AG61" s="1"/>
  <c r="S173" i="14" s="1"/>
  <c r="AF57" i="16"/>
  <c r="AF61" s="1"/>
  <c r="AE19" i="14" s="1"/>
  <c r="AE57" i="16"/>
  <c r="AE61" s="1"/>
  <c r="AC19" i="14" s="1"/>
  <c r="AD57" i="16"/>
  <c r="AD61" s="1"/>
  <c r="AA19" i="14" s="1"/>
  <c r="W19"/>
  <c r="S19"/>
  <c r="AQ53" i="16"/>
  <c r="AP53"/>
  <c r="AO53"/>
  <c r="AN53"/>
  <c r="AM53"/>
  <c r="AL53"/>
  <c r="AK53"/>
  <c r="AJ53"/>
  <c r="AI53"/>
  <c r="AH53"/>
  <c r="AG53"/>
  <c r="AF53"/>
  <c r="AE53"/>
  <c r="AD53"/>
  <c r="AQ50"/>
  <c r="AP50"/>
  <c r="AP54" s="1"/>
  <c r="AO50"/>
  <c r="AO54" s="1"/>
  <c r="Y202" i="14" s="1"/>
  <c r="AN50" i="16"/>
  <c r="AN54" s="1"/>
  <c r="W202" i="14" s="1"/>
  <c r="AM50" i="16"/>
  <c r="AM54" s="1"/>
  <c r="U202" i="14" s="1"/>
  <c r="AL50" i="16"/>
  <c r="AL54" s="1"/>
  <c r="S202" i="14" s="1"/>
  <c r="AK50" i="16"/>
  <c r="AK54" s="1"/>
  <c r="AA172" i="14" s="1"/>
  <c r="AJ50" i="16"/>
  <c r="AJ54" s="1"/>
  <c r="Y172" i="14" s="1"/>
  <c r="AI50" i="16"/>
  <c r="AI54" s="1"/>
  <c r="W172" i="14" s="1"/>
  <c r="AH50" i="16"/>
  <c r="AH54" s="1"/>
  <c r="U172" i="14" s="1"/>
  <c r="AG50" i="16"/>
  <c r="AG54" s="1"/>
  <c r="S172" i="14" s="1"/>
  <c r="AF50" i="16"/>
  <c r="AF54" s="1"/>
  <c r="AE18" i="14" s="1"/>
  <c r="AE50" i="16"/>
  <c r="AE54" s="1"/>
  <c r="AC18" i="14" s="1"/>
  <c r="AD50" i="16"/>
  <c r="AD54" s="1"/>
  <c r="AA18" i="14" s="1"/>
  <c r="Y18"/>
  <c r="U18"/>
  <c r="S18"/>
  <c r="AQ46" i="16"/>
  <c r="AP46"/>
  <c r="AO46"/>
  <c r="AN46"/>
  <c r="AM46"/>
  <c r="AL46"/>
  <c r="AK46"/>
  <c r="AJ46"/>
  <c r="AI46"/>
  <c r="AH46"/>
  <c r="AG46"/>
  <c r="AF46"/>
  <c r="AE46"/>
  <c r="AD46"/>
  <c r="AQ43"/>
  <c r="AQ47" s="1"/>
  <c r="AP43"/>
  <c r="AP47" s="1"/>
  <c r="AO43"/>
  <c r="AO47" s="1"/>
  <c r="Y201" i="14" s="1"/>
  <c r="AN43" i="16"/>
  <c r="AN47" s="1"/>
  <c r="W201" i="14" s="1"/>
  <c r="AM43" i="16"/>
  <c r="AM47" s="1"/>
  <c r="U201" i="14" s="1"/>
  <c r="AL43" i="16"/>
  <c r="AL47" s="1"/>
  <c r="S201" i="14" s="1"/>
  <c r="AK43" i="16"/>
  <c r="AK47" s="1"/>
  <c r="AA171" i="14" s="1"/>
  <c r="AJ43" i="16"/>
  <c r="AJ47" s="1"/>
  <c r="Y171" i="14" s="1"/>
  <c r="AI43" i="16"/>
  <c r="AI47" s="1"/>
  <c r="W171" i="14" s="1"/>
  <c r="AH43" i="16"/>
  <c r="AH47" s="1"/>
  <c r="U171" i="14" s="1"/>
  <c r="AG43" i="16"/>
  <c r="AG47" s="1"/>
  <c r="S171" i="14" s="1"/>
  <c r="AF43" i="16"/>
  <c r="AF47" s="1"/>
  <c r="AE17" i="14" s="1"/>
  <c r="AE43" i="16"/>
  <c r="AE47" s="1"/>
  <c r="AC17" i="14" s="1"/>
  <c r="AD43" i="16"/>
  <c r="AD47" s="1"/>
  <c r="AA17" i="14" s="1"/>
  <c r="W17"/>
  <c r="S17"/>
  <c r="AQ39" i="16"/>
  <c r="AP39"/>
  <c r="AO39"/>
  <c r="AN39"/>
  <c r="AM39"/>
  <c r="AL39"/>
  <c r="AK39"/>
  <c r="AJ39"/>
  <c r="AI39"/>
  <c r="AH39"/>
  <c r="AG39"/>
  <c r="AF39"/>
  <c r="AE39"/>
  <c r="AD39"/>
  <c r="AQ36"/>
  <c r="AQ40" s="1"/>
  <c r="AP36"/>
  <c r="AP40" s="1"/>
  <c r="AO36"/>
  <c r="AO40" s="1"/>
  <c r="Y200" i="14" s="1"/>
  <c r="AN36" i="16"/>
  <c r="AN40" s="1"/>
  <c r="W200" i="14" s="1"/>
  <c r="AM36" i="16"/>
  <c r="AM40" s="1"/>
  <c r="U200" i="14" s="1"/>
  <c r="AL36" i="16"/>
  <c r="AL40" s="1"/>
  <c r="S200" i="14" s="1"/>
  <c r="AK36" i="16"/>
  <c r="AK40" s="1"/>
  <c r="AA170" i="14" s="1"/>
  <c r="AJ36" i="16"/>
  <c r="AJ40" s="1"/>
  <c r="Y170" i="14" s="1"/>
  <c r="AI36" i="16"/>
  <c r="AI40" s="1"/>
  <c r="W170" i="14" s="1"/>
  <c r="AH36" i="16"/>
  <c r="AH40" s="1"/>
  <c r="U170" i="14" s="1"/>
  <c r="AG36" i="16"/>
  <c r="AG40" s="1"/>
  <c r="S170" i="14" s="1"/>
  <c r="AF36" i="16"/>
  <c r="AF40" s="1"/>
  <c r="AE16" i="14" s="1"/>
  <c r="AE36" i="16"/>
  <c r="AE40" s="1"/>
  <c r="AC16" i="14" s="1"/>
  <c r="AD36" i="16"/>
  <c r="AD40" s="1"/>
  <c r="AA16" i="14" s="1"/>
  <c r="Y16"/>
  <c r="U16"/>
  <c r="S16"/>
  <c r="AQ32" i="16"/>
  <c r="AP32"/>
  <c r="AO32"/>
  <c r="AN32"/>
  <c r="AM32"/>
  <c r="AL32"/>
  <c r="AK32"/>
  <c r="AJ32"/>
  <c r="AI32"/>
  <c r="AH32"/>
  <c r="AG32"/>
  <c r="AF32"/>
  <c r="AE32"/>
  <c r="AD32"/>
  <c r="AQ29"/>
  <c r="AQ33" s="1"/>
  <c r="AP29"/>
  <c r="AP33" s="1"/>
  <c r="AO29"/>
  <c r="AO33" s="1"/>
  <c r="Y198" i="14" s="1"/>
  <c r="AN29" i="16"/>
  <c r="AN33" s="1"/>
  <c r="W198" i="14" s="1"/>
  <c r="AM29" i="16"/>
  <c r="AM33" s="1"/>
  <c r="U198" i="14" s="1"/>
  <c r="AL29" i="16"/>
  <c r="AL33" s="1"/>
  <c r="S198" i="14" s="1"/>
  <c r="AK29" i="16"/>
  <c r="AK33" s="1"/>
  <c r="AA168" i="14" s="1"/>
  <c r="AJ29" i="16"/>
  <c r="AJ33" s="1"/>
  <c r="Y168" i="14" s="1"/>
  <c r="AI29" i="16"/>
  <c r="AI33" s="1"/>
  <c r="W168" i="14" s="1"/>
  <c r="AH29" i="16"/>
  <c r="AH33" s="1"/>
  <c r="U168" i="14" s="1"/>
  <c r="AG29" i="16"/>
  <c r="AG33" s="1"/>
  <c r="S168" i="14" s="1"/>
  <c r="AF29" i="16"/>
  <c r="AF33" s="1"/>
  <c r="AE14" i="14" s="1"/>
  <c r="AE29" i="16"/>
  <c r="AE33" s="1"/>
  <c r="AC14" i="14" s="1"/>
  <c r="AD29" i="16"/>
  <c r="AD33" s="1"/>
  <c r="AA14" i="14" s="1"/>
  <c r="W14"/>
  <c r="S14"/>
  <c r="AQ25" i="16"/>
  <c r="AP25"/>
  <c r="AO25"/>
  <c r="AN25"/>
  <c r="AM25"/>
  <c r="AL25"/>
  <c r="AK25"/>
  <c r="AJ25"/>
  <c r="AI25"/>
  <c r="AH25"/>
  <c r="AG25"/>
  <c r="AF25"/>
  <c r="AE25"/>
  <c r="AD25"/>
  <c r="AQ22"/>
  <c r="AQ26" s="1"/>
  <c r="AP22"/>
  <c r="AP26" s="1"/>
  <c r="AO22"/>
  <c r="AO26" s="1"/>
  <c r="Y197" i="14" s="1"/>
  <c r="AN22" i="16"/>
  <c r="AN26" s="1"/>
  <c r="W197" i="14" s="1"/>
  <c r="AM22" i="16"/>
  <c r="AM26" s="1"/>
  <c r="U197" i="14" s="1"/>
  <c r="AL22" i="16"/>
  <c r="AL26" s="1"/>
  <c r="S197" i="14" s="1"/>
  <c r="AK22" i="16"/>
  <c r="AK26" s="1"/>
  <c r="AA167" i="14" s="1"/>
  <c r="AJ22" i="16"/>
  <c r="AJ26" s="1"/>
  <c r="Y167" i="14" s="1"/>
  <c r="AI22" i="16"/>
  <c r="AI26" s="1"/>
  <c r="W167" i="14" s="1"/>
  <c r="AH22" i="16"/>
  <c r="AH26" s="1"/>
  <c r="U167" i="14" s="1"/>
  <c r="AG22" i="16"/>
  <c r="AG26" s="1"/>
  <c r="S167" i="14" s="1"/>
  <c r="AF22" i="16"/>
  <c r="AF26" s="1"/>
  <c r="AE13" i="14" s="1"/>
  <c r="AE22" i="16"/>
  <c r="AE26" s="1"/>
  <c r="AC13" i="14" s="1"/>
  <c r="AD22" i="16"/>
  <c r="AD26" s="1"/>
  <c r="AA13" i="14" s="1"/>
  <c r="Y13"/>
  <c r="U13"/>
  <c r="S13"/>
  <c r="AQ18" i="16"/>
  <c r="AP18"/>
  <c r="AO18"/>
  <c r="AN18"/>
  <c r="AM18"/>
  <c r="AL18"/>
  <c r="AK18"/>
  <c r="AJ18"/>
  <c r="AI18"/>
  <c r="AH18"/>
  <c r="AG18"/>
  <c r="AF18"/>
  <c r="AE18"/>
  <c r="AD18"/>
  <c r="AQ15"/>
  <c r="AQ19" s="1"/>
  <c r="AP15"/>
  <c r="AP19" s="1"/>
  <c r="AO15"/>
  <c r="AO19" s="1"/>
  <c r="Y196" i="14" s="1"/>
  <c r="AN15" i="16"/>
  <c r="AN19" s="1"/>
  <c r="W196" i="14" s="1"/>
  <c r="AM15" i="16"/>
  <c r="AM19" s="1"/>
  <c r="U196" i="14" s="1"/>
  <c r="AL15" i="16"/>
  <c r="AL19" s="1"/>
  <c r="S196" i="14" s="1"/>
  <c r="AK15" i="16"/>
  <c r="AK19" s="1"/>
  <c r="AA166" i="14" s="1"/>
  <c r="AJ15" i="16"/>
  <c r="AJ19" s="1"/>
  <c r="Y166" i="14" s="1"/>
  <c r="AI15" i="16"/>
  <c r="AI19" s="1"/>
  <c r="W166" i="14" s="1"/>
  <c r="AH15" i="16"/>
  <c r="AH19" s="1"/>
  <c r="U166" i="14" s="1"/>
  <c r="AG15" i="16"/>
  <c r="AG19" s="1"/>
  <c r="S166" i="14" s="1"/>
  <c r="AF15" i="16"/>
  <c r="AF19" s="1"/>
  <c r="AE12" i="14" s="1"/>
  <c r="AE15" i="16"/>
  <c r="AE19" s="1"/>
  <c r="AC12" i="14" s="1"/>
  <c r="AD15" i="16"/>
  <c r="AD19" s="1"/>
  <c r="AA12" i="14" s="1"/>
  <c r="W12"/>
  <c r="S12"/>
  <c r="AQ11" i="16"/>
  <c r="AP11"/>
  <c r="AO11"/>
  <c r="AN11"/>
  <c r="AM11"/>
  <c r="AL11"/>
  <c r="AK11"/>
  <c r="AJ11"/>
  <c r="AI11"/>
  <c r="AH11"/>
  <c r="AG11"/>
  <c r="AF11"/>
  <c r="AE11"/>
  <c r="AD11"/>
  <c r="AQ8"/>
  <c r="AQ12" s="1"/>
  <c r="AP8"/>
  <c r="AP12" s="1"/>
  <c r="AO8"/>
  <c r="AO12" s="1"/>
  <c r="Y195" i="14" s="1"/>
  <c r="AN8" i="16"/>
  <c r="AN12" s="1"/>
  <c r="W195" i="14" s="1"/>
  <c r="AM8" i="16"/>
  <c r="AM12" s="1"/>
  <c r="U195" i="14" s="1"/>
  <c r="AL8" i="16"/>
  <c r="AL12" s="1"/>
  <c r="S195" i="14" s="1"/>
  <c r="AK8" i="16"/>
  <c r="AK12" s="1"/>
  <c r="AA165" i="14" s="1"/>
  <c r="AJ8" i="16"/>
  <c r="AJ12" s="1"/>
  <c r="Y165" i="14" s="1"/>
  <c r="AI8" i="16"/>
  <c r="AI12" s="1"/>
  <c r="W165" i="14" s="1"/>
  <c r="AH8" i="16"/>
  <c r="AH12" s="1"/>
  <c r="U165" i="14" s="1"/>
  <c r="AG8" i="16"/>
  <c r="AG12" s="1"/>
  <c r="S165" i="14" s="1"/>
  <c r="AF8" i="16"/>
  <c r="AF12" s="1"/>
  <c r="AE8"/>
  <c r="AE12" s="1"/>
  <c r="AC11" i="14" s="1"/>
  <c r="AD8" i="16"/>
  <c r="AD12" s="1"/>
  <c r="AA11" i="14" s="1"/>
  <c r="Y11"/>
  <c r="U11"/>
  <c r="S11"/>
  <c r="R27"/>
  <c r="X177"/>
  <c r="T180"/>
  <c r="R207"/>
  <c r="V203"/>
  <c r="V13"/>
  <c r="T205"/>
  <c r="AB23"/>
  <c r="R181"/>
  <c r="R16"/>
  <c r="T182"/>
  <c r="R197"/>
  <c r="V18"/>
  <c r="T196"/>
  <c r="T11"/>
  <c r="R29"/>
  <c r="R165"/>
  <c r="R24"/>
  <c r="T181"/>
  <c r="X14"/>
  <c r="T16"/>
  <c r="Z19"/>
  <c r="X167"/>
  <c r="T173"/>
  <c r="R203"/>
  <c r="X26"/>
  <c r="I29"/>
  <c r="AB27"/>
  <c r="R170"/>
  <c r="V195"/>
  <c r="R12"/>
  <c r="T9"/>
  <c r="AB19"/>
  <c r="R200"/>
  <c r="R22"/>
  <c r="X29"/>
  <c r="R26"/>
  <c r="V197"/>
  <c r="V181"/>
  <c r="R168"/>
  <c r="R23"/>
  <c r="V19"/>
  <c r="T163"/>
  <c r="AB22"/>
  <c r="V205"/>
  <c r="X13"/>
  <c r="R177"/>
  <c r="Z14"/>
  <c r="AB17"/>
  <c r="Z28"/>
  <c r="T22"/>
  <c r="R198"/>
  <c r="R196"/>
  <c r="X183"/>
  <c r="T21"/>
  <c r="V23"/>
  <c r="X181"/>
  <c r="V177"/>
  <c r="V28"/>
  <c r="AB14"/>
  <c r="T178"/>
  <c r="AB18"/>
  <c r="T171"/>
  <c r="T177"/>
  <c r="T13"/>
  <c r="R176"/>
  <c r="V211"/>
  <c r="X17"/>
  <c r="V202"/>
  <c r="V200"/>
  <c r="K29"/>
  <c r="Z22"/>
  <c r="X182"/>
  <c r="X171"/>
  <c r="R178"/>
  <c r="X24"/>
  <c r="R193"/>
  <c r="AB26"/>
  <c r="V173"/>
  <c r="T175"/>
  <c r="V167"/>
  <c r="T195"/>
  <c r="Z26"/>
  <c r="AB21"/>
  <c r="T23"/>
  <c r="X176"/>
  <c r="T183"/>
  <c r="V176"/>
  <c r="X9"/>
  <c r="V172"/>
  <c r="X180"/>
  <c r="R21"/>
  <c r="T27"/>
  <c r="T203"/>
  <c r="R212"/>
  <c r="V198"/>
  <c r="V14"/>
  <c r="V163"/>
  <c r="X175"/>
  <c r="T14"/>
  <c r="AB28"/>
  <c r="V178"/>
  <c r="X27"/>
  <c r="R182"/>
  <c r="T193"/>
  <c r="V180"/>
  <c r="T202"/>
  <c r="R173"/>
  <c r="T212"/>
  <c r="Z21"/>
  <c r="T197"/>
  <c r="X19"/>
  <c r="X166"/>
  <c r="T210"/>
  <c r="V9"/>
  <c r="V171"/>
  <c r="R163"/>
  <c r="X23"/>
  <c r="T168"/>
  <c r="R28"/>
  <c r="T167"/>
  <c r="R206"/>
  <c r="V170"/>
  <c r="R11"/>
  <c r="V17"/>
  <c r="V11"/>
  <c r="Z11"/>
  <c r="X11"/>
  <c r="X21"/>
  <c r="V213"/>
  <c r="Z24"/>
  <c r="V175"/>
  <c r="Z13"/>
  <c r="X22"/>
  <c r="V196"/>
  <c r="T12"/>
  <c r="T211"/>
  <c r="T207"/>
  <c r="R171"/>
  <c r="T208"/>
  <c r="Z18"/>
  <c r="V16"/>
  <c r="R205"/>
  <c r="V29"/>
  <c r="R183"/>
  <c r="V201"/>
  <c r="V183"/>
  <c r="V165"/>
  <c r="T19"/>
  <c r="Z9"/>
  <c r="R195"/>
  <c r="T172"/>
  <c r="Z29"/>
  <c r="AB13"/>
  <c r="X12"/>
  <c r="X172"/>
  <c r="R18"/>
  <c r="R208"/>
  <c r="V182"/>
  <c r="AB12"/>
  <c r="V24"/>
  <c r="AB29"/>
  <c r="V212"/>
  <c r="T201"/>
  <c r="V168"/>
  <c r="V207"/>
  <c r="V22"/>
  <c r="T29"/>
  <c r="T213"/>
  <c r="R166"/>
  <c r="R17"/>
  <c r="X28"/>
  <c r="V27"/>
  <c r="X16"/>
  <c r="X178"/>
  <c r="R19"/>
  <c r="T166"/>
  <c r="R180"/>
  <c r="R14"/>
  <c r="R167"/>
  <c r="X170"/>
  <c r="V166"/>
  <c r="T18"/>
  <c r="X173"/>
  <c r="AB11"/>
  <c r="Z23"/>
  <c r="T26"/>
  <c r="AB16"/>
  <c r="Z16"/>
  <c r="R210"/>
  <c r="X18"/>
  <c r="AB9"/>
  <c r="T198"/>
  <c r="T28"/>
  <c r="Z27"/>
  <c r="V210"/>
  <c r="R172"/>
  <c r="T170"/>
  <c r="X168"/>
  <c r="T24"/>
  <c r="AB24"/>
  <c r="V12"/>
  <c r="T206"/>
  <c r="V208"/>
  <c r="R201"/>
  <c r="T200"/>
  <c r="Z12"/>
  <c r="V26"/>
  <c r="V206"/>
  <c r="R13"/>
  <c r="Z17"/>
  <c r="T165"/>
  <c r="V21"/>
  <c r="V193"/>
  <c r="X163"/>
  <c r="X165"/>
  <c r="R211"/>
  <c r="T17"/>
  <c r="R175"/>
  <c r="T176"/>
  <c r="R9"/>
  <c r="R213"/>
  <c r="R202"/>
  <c r="AB124" i="16" l="1"/>
  <c r="AD124"/>
  <c r="AF124"/>
  <c r="AH124"/>
  <c r="AJ124"/>
  <c r="AL124"/>
  <c r="AN124"/>
  <c r="AP124"/>
  <c r="AZ52" i="6"/>
  <c r="U341"/>
  <c r="U325"/>
  <c r="U357"/>
  <c r="U717"/>
  <c r="U670"/>
  <c r="U568"/>
  <c r="U198"/>
  <c r="U333"/>
  <c r="U349"/>
  <c r="U370"/>
  <c r="U387"/>
  <c r="U637"/>
  <c r="U675"/>
  <c r="U679"/>
  <c r="U705"/>
  <c r="U53"/>
  <c r="U220"/>
  <c r="U329"/>
  <c r="U337"/>
  <c r="U345"/>
  <c r="U353"/>
  <c r="U362"/>
  <c r="U375"/>
  <c r="U383"/>
  <c r="U391"/>
  <c r="U417"/>
  <c r="U509"/>
  <c r="U593"/>
  <c r="AY104"/>
  <c r="AK104"/>
  <c r="U85"/>
  <c r="U69"/>
  <c r="AY96"/>
  <c r="AK96"/>
  <c r="AY112"/>
  <c r="AK112"/>
  <c r="AY132"/>
  <c r="U211"/>
  <c r="U228"/>
  <c r="U323"/>
  <c r="U327"/>
  <c r="U331"/>
  <c r="U335"/>
  <c r="U339"/>
  <c r="U343"/>
  <c r="U347"/>
  <c r="U351"/>
  <c r="U355"/>
  <c r="U359"/>
  <c r="U366"/>
  <c r="U373"/>
  <c r="U377"/>
  <c r="U381"/>
  <c r="U385"/>
  <c r="U389"/>
  <c r="U393"/>
  <c r="AY394"/>
  <c r="AZ402"/>
  <c r="AZ404"/>
  <c r="AZ406"/>
  <c r="U408"/>
  <c r="U525"/>
  <c r="U585"/>
  <c r="U601"/>
  <c r="U669"/>
  <c r="AY6"/>
  <c r="U629"/>
  <c r="U649"/>
  <c r="U726"/>
  <c r="U674"/>
  <c r="AY65"/>
  <c r="U45"/>
  <c r="U61"/>
  <c r="U77"/>
  <c r="AY92"/>
  <c r="AK92"/>
  <c r="AY100"/>
  <c r="AK100"/>
  <c r="AY108"/>
  <c r="AK108"/>
  <c r="AY116"/>
  <c r="AK116"/>
  <c r="AY128"/>
  <c r="AY131"/>
  <c r="U132"/>
  <c r="Q133"/>
  <c r="U133"/>
  <c r="Q134"/>
  <c r="AY145"/>
  <c r="Q146"/>
  <c r="U146"/>
  <c r="Q147"/>
  <c r="U150"/>
  <c r="U192"/>
  <c r="U205"/>
  <c r="U216"/>
  <c r="U224"/>
  <c r="U324"/>
  <c r="U326"/>
  <c r="U328"/>
  <c r="U330"/>
  <c r="U332"/>
  <c r="U334"/>
  <c r="U336"/>
  <c r="U338"/>
  <c r="U340"/>
  <c r="U342"/>
  <c r="U344"/>
  <c r="U346"/>
  <c r="U348"/>
  <c r="U350"/>
  <c r="U352"/>
  <c r="U354"/>
  <c r="U356"/>
  <c r="U358"/>
  <c r="U360"/>
  <c r="U364"/>
  <c r="U368"/>
  <c r="U372"/>
  <c r="U374"/>
  <c r="U376"/>
  <c r="U378"/>
  <c r="U380"/>
  <c r="U382"/>
  <c r="U384"/>
  <c r="U386"/>
  <c r="U388"/>
  <c r="U390"/>
  <c r="U392"/>
  <c r="AZ394"/>
  <c r="AY401"/>
  <c r="AY402"/>
  <c r="AY403"/>
  <c r="AY404"/>
  <c r="AY405"/>
  <c r="AY406"/>
  <c r="AY407"/>
  <c r="U410"/>
  <c r="AY411"/>
  <c r="U517"/>
  <c r="U560"/>
  <c r="U576"/>
  <c r="U589"/>
  <c r="U597"/>
  <c r="U625"/>
  <c r="U633"/>
  <c r="U641"/>
  <c r="U713"/>
  <c r="U721"/>
  <c r="U730"/>
  <c r="V669"/>
  <c r="V671"/>
  <c r="V672"/>
  <c r="V673"/>
  <c r="V670"/>
  <c r="V674"/>
  <c r="V675"/>
  <c r="V677"/>
  <c r="V679"/>
  <c r="U697"/>
  <c r="AY124"/>
  <c r="R361"/>
  <c r="AZ361" s="1"/>
  <c r="V361"/>
  <c r="R363"/>
  <c r="AZ363" s="1"/>
  <c r="V363"/>
  <c r="R365"/>
  <c r="AZ365" s="1"/>
  <c r="V365"/>
  <c r="R367"/>
  <c r="AZ367" s="1"/>
  <c r="V367"/>
  <c r="R369"/>
  <c r="AZ369" s="1"/>
  <c r="V369"/>
  <c r="R371"/>
  <c r="AZ371" s="1"/>
  <c r="V371"/>
  <c r="U49"/>
  <c r="U57"/>
  <c r="U65"/>
  <c r="U73"/>
  <c r="U81"/>
  <c r="U89"/>
  <c r="AY94"/>
  <c r="AK94"/>
  <c r="AY98"/>
  <c r="AK98"/>
  <c r="AY102"/>
  <c r="AK102"/>
  <c r="AY106"/>
  <c r="AK106"/>
  <c r="AY110"/>
  <c r="AK110"/>
  <c r="AY114"/>
  <c r="AK114"/>
  <c r="AY118"/>
  <c r="AK118"/>
  <c r="AY123"/>
  <c r="U124"/>
  <c r="Q125"/>
  <c r="U125"/>
  <c r="Q126"/>
  <c r="U151"/>
  <c r="U190"/>
  <c r="U194"/>
  <c r="U202"/>
  <c r="U208"/>
  <c r="U213"/>
  <c r="U218"/>
  <c r="U222"/>
  <c r="U226"/>
  <c r="AY298"/>
  <c r="V323"/>
  <c r="V324"/>
  <c r="V325"/>
  <c r="V326"/>
  <c r="V327"/>
  <c r="V328"/>
  <c r="V329"/>
  <c r="V330"/>
  <c r="V331"/>
  <c r="V332"/>
  <c r="V333"/>
  <c r="V334"/>
  <c r="V335"/>
  <c r="V336"/>
  <c r="V337"/>
  <c r="V338"/>
  <c r="V339"/>
  <c r="V340"/>
  <c r="V341"/>
  <c r="V342"/>
  <c r="V343"/>
  <c r="V344"/>
  <c r="V345"/>
  <c r="V346"/>
  <c r="V347"/>
  <c r="V348"/>
  <c r="V349"/>
  <c r="V350"/>
  <c r="V351"/>
  <c r="V352"/>
  <c r="V353"/>
  <c r="V354"/>
  <c r="V355"/>
  <c r="V356"/>
  <c r="V357"/>
  <c r="V358"/>
  <c r="V359"/>
  <c r="V360"/>
  <c r="U361"/>
  <c r="U363"/>
  <c r="U365"/>
  <c r="U367"/>
  <c r="U369"/>
  <c r="U371"/>
  <c r="AY395"/>
  <c r="R362"/>
  <c r="AZ362" s="1"/>
  <c r="V362"/>
  <c r="R364"/>
  <c r="AZ364" s="1"/>
  <c r="V364"/>
  <c r="R366"/>
  <c r="AZ366" s="1"/>
  <c r="V366"/>
  <c r="R368"/>
  <c r="AZ368" s="1"/>
  <c r="V368"/>
  <c r="R370"/>
  <c r="AZ370" s="1"/>
  <c r="V370"/>
  <c r="R372"/>
  <c r="AZ372" s="1"/>
  <c r="V372"/>
  <c r="V373"/>
  <c r="V374"/>
  <c r="V375"/>
  <c r="V376"/>
  <c r="V377"/>
  <c r="V378"/>
  <c r="V379"/>
  <c r="V380"/>
  <c r="V381"/>
  <c r="V382"/>
  <c r="V383"/>
  <c r="V384"/>
  <c r="V385"/>
  <c r="V386"/>
  <c r="V387"/>
  <c r="V388"/>
  <c r="V389"/>
  <c r="V390"/>
  <c r="V391"/>
  <c r="V392"/>
  <c r="V393"/>
  <c r="U394"/>
  <c r="U395"/>
  <c r="AY397"/>
  <c r="AY399"/>
  <c r="U505"/>
  <c r="U513"/>
  <c r="U521"/>
  <c r="U556"/>
  <c r="U564"/>
  <c r="U572"/>
  <c r="U580"/>
  <c r="U587"/>
  <c r="U591"/>
  <c r="U595"/>
  <c r="U599"/>
  <c r="U603"/>
  <c r="U693"/>
  <c r="U701"/>
  <c r="U709"/>
  <c r="U409"/>
  <c r="AZ411"/>
  <c r="U413"/>
  <c r="U623"/>
  <c r="U627"/>
  <c r="U631"/>
  <c r="U635"/>
  <c r="U639"/>
  <c r="U645"/>
  <c r="U653"/>
  <c r="U711"/>
  <c r="U715"/>
  <c r="U719"/>
  <c r="U724"/>
  <c r="U728"/>
  <c r="AY120"/>
  <c r="AY136"/>
  <c r="AY141"/>
  <c r="AY608"/>
  <c r="U47"/>
  <c r="U51"/>
  <c r="U55"/>
  <c r="U59"/>
  <c r="U63"/>
  <c r="U67"/>
  <c r="U71"/>
  <c r="U75"/>
  <c r="U79"/>
  <c r="U83"/>
  <c r="U87"/>
  <c r="U91"/>
  <c r="AY93"/>
  <c r="AK93"/>
  <c r="AY95"/>
  <c r="AK95"/>
  <c r="AY97"/>
  <c r="AK97"/>
  <c r="AY99"/>
  <c r="AK99"/>
  <c r="AY101"/>
  <c r="AK101"/>
  <c r="AY103"/>
  <c r="AK103"/>
  <c r="AY105"/>
  <c r="AK105"/>
  <c r="AY107"/>
  <c r="AK107"/>
  <c r="AY109"/>
  <c r="AK109"/>
  <c r="AY111"/>
  <c r="AK111"/>
  <c r="AY113"/>
  <c r="AK113"/>
  <c r="AY115"/>
  <c r="AK115"/>
  <c r="AY117"/>
  <c r="AK117"/>
  <c r="AY119"/>
  <c r="AK119"/>
  <c r="U120"/>
  <c r="Q121"/>
  <c r="U121"/>
  <c r="Q122"/>
  <c r="AY126"/>
  <c r="AY127"/>
  <c r="U128"/>
  <c r="Q129"/>
  <c r="U129"/>
  <c r="Q130"/>
  <c r="AY134"/>
  <c r="AY135"/>
  <c r="U136"/>
  <c r="Q137"/>
  <c r="U137"/>
  <c r="Q138"/>
  <c r="U139"/>
  <c r="AY140"/>
  <c r="U141"/>
  <c r="U143"/>
  <c r="AY144"/>
  <c r="U145"/>
  <c r="AY147"/>
  <c r="AY148"/>
  <c r="AZ149"/>
  <c r="V150"/>
  <c r="V151"/>
  <c r="Q152"/>
  <c r="U191"/>
  <c r="U193"/>
  <c r="U196"/>
  <c r="U200"/>
  <c r="U204"/>
  <c r="U206"/>
  <c r="U210"/>
  <c r="U212"/>
  <c r="U214"/>
  <c r="U217"/>
  <c r="U219"/>
  <c r="U221"/>
  <c r="U223"/>
  <c r="U225"/>
  <c r="U227"/>
  <c r="U229"/>
  <c r="AZ397"/>
  <c r="AZ399"/>
  <c r="AY400"/>
  <c r="U401"/>
  <c r="U402"/>
  <c r="U403"/>
  <c r="U404"/>
  <c r="U405"/>
  <c r="U406"/>
  <c r="U407"/>
  <c r="V408"/>
  <c r="V409"/>
  <c r="V410"/>
  <c r="U411"/>
  <c r="U415"/>
  <c r="U419"/>
  <c r="U503"/>
  <c r="U507"/>
  <c r="U511"/>
  <c r="U515"/>
  <c r="U519"/>
  <c r="U523"/>
  <c r="U554"/>
  <c r="U558"/>
  <c r="U562"/>
  <c r="U566"/>
  <c r="U570"/>
  <c r="U574"/>
  <c r="U578"/>
  <c r="U582"/>
  <c r="U586"/>
  <c r="U588"/>
  <c r="U590"/>
  <c r="U592"/>
  <c r="U594"/>
  <c r="U596"/>
  <c r="U598"/>
  <c r="U600"/>
  <c r="U602"/>
  <c r="U604"/>
  <c r="U624"/>
  <c r="U626"/>
  <c r="U628"/>
  <c r="U630"/>
  <c r="U632"/>
  <c r="U634"/>
  <c r="U636"/>
  <c r="U638"/>
  <c r="U640"/>
  <c r="U643"/>
  <c r="U647"/>
  <c r="U651"/>
  <c r="U655"/>
  <c r="U710"/>
  <c r="U712"/>
  <c r="U714"/>
  <c r="U716"/>
  <c r="U718"/>
  <c r="U720"/>
  <c r="U723"/>
  <c r="U725"/>
  <c r="U727"/>
  <c r="U729"/>
  <c r="U695"/>
  <c r="U699"/>
  <c r="U703"/>
  <c r="U708"/>
  <c r="AY149"/>
  <c r="AZ662"/>
  <c r="U694"/>
  <c r="U696"/>
  <c r="U698"/>
  <c r="U700"/>
  <c r="U702"/>
  <c r="U704"/>
  <c r="U706"/>
  <c r="R676"/>
  <c r="AZ676" s="1"/>
  <c r="V676"/>
  <c r="R678"/>
  <c r="AZ678" s="1"/>
  <c r="V678"/>
  <c r="R680"/>
  <c r="AZ680" s="1"/>
  <c r="V680"/>
  <c r="R681"/>
  <c r="AZ681" s="1"/>
  <c r="V681"/>
  <c r="R682"/>
  <c r="AZ682" s="1"/>
  <c r="V682"/>
  <c r="R683"/>
  <c r="AZ683" s="1"/>
  <c r="V683"/>
  <c r="R684"/>
  <c r="AZ684" s="1"/>
  <c r="V684"/>
  <c r="R685"/>
  <c r="AZ685" s="1"/>
  <c r="V685"/>
  <c r="R686"/>
  <c r="AZ686" s="1"/>
  <c r="V686"/>
  <c r="R687"/>
  <c r="AZ687" s="1"/>
  <c r="V687"/>
  <c r="R688"/>
  <c r="AZ688" s="1"/>
  <c r="V688"/>
  <c r="R689"/>
  <c r="AZ689" s="1"/>
  <c r="V689"/>
  <c r="R690"/>
  <c r="AZ690" s="1"/>
  <c r="V690"/>
  <c r="R691"/>
  <c r="AZ691" s="1"/>
  <c r="V691"/>
  <c r="R692"/>
  <c r="AZ692" s="1"/>
  <c r="V692"/>
  <c r="U676"/>
  <c r="U680"/>
  <c r="U681"/>
  <c r="U682"/>
  <c r="U683"/>
  <c r="U684"/>
  <c r="U685"/>
  <c r="U686"/>
  <c r="U687"/>
  <c r="U688"/>
  <c r="U689"/>
  <c r="U690"/>
  <c r="U691"/>
  <c r="U692"/>
  <c r="V693"/>
  <c r="V694"/>
  <c r="V695"/>
  <c r="V696"/>
  <c r="V697"/>
  <c r="V698"/>
  <c r="V699"/>
  <c r="V700"/>
  <c r="V701"/>
  <c r="V702"/>
  <c r="V703"/>
  <c r="V704"/>
  <c r="V705"/>
  <c r="V706"/>
  <c r="V708"/>
  <c r="V709"/>
  <c r="AY122"/>
  <c r="AY130"/>
  <c r="AY138"/>
  <c r="AY142"/>
  <c r="AY396"/>
  <c r="AY398"/>
  <c r="U44"/>
  <c r="U46"/>
  <c r="U48"/>
  <c r="U50"/>
  <c r="U52"/>
  <c r="U54"/>
  <c r="U56"/>
  <c r="U58"/>
  <c r="U60"/>
  <c r="U62"/>
  <c r="U64"/>
  <c r="U66"/>
  <c r="U68"/>
  <c r="U70"/>
  <c r="U72"/>
  <c r="U74"/>
  <c r="U76"/>
  <c r="U78"/>
  <c r="U80"/>
  <c r="U82"/>
  <c r="U84"/>
  <c r="U86"/>
  <c r="U88"/>
  <c r="U90"/>
  <c r="U92"/>
  <c r="U93"/>
  <c r="U94"/>
  <c r="U95"/>
  <c r="U96"/>
  <c r="U97"/>
  <c r="U98"/>
  <c r="U99"/>
  <c r="U100"/>
  <c r="U101"/>
  <c r="U102"/>
  <c r="U103"/>
  <c r="U104"/>
  <c r="U105"/>
  <c r="U106"/>
  <c r="U107"/>
  <c r="U108"/>
  <c r="U109"/>
  <c r="U110"/>
  <c r="U111"/>
  <c r="U112"/>
  <c r="U113"/>
  <c r="U114"/>
  <c r="U115"/>
  <c r="U116"/>
  <c r="U117"/>
  <c r="U118"/>
  <c r="U119"/>
  <c r="Q120"/>
  <c r="V120" s="1"/>
  <c r="U122"/>
  <c r="Q123"/>
  <c r="V123" s="1"/>
  <c r="U123"/>
  <c r="Q124"/>
  <c r="V124" s="1"/>
  <c r="U126"/>
  <c r="Q127"/>
  <c r="V127" s="1"/>
  <c r="U127"/>
  <c r="Q128"/>
  <c r="V128" s="1"/>
  <c r="U130"/>
  <c r="Q131"/>
  <c r="V131" s="1"/>
  <c r="U131"/>
  <c r="Q132"/>
  <c r="V132" s="1"/>
  <c r="U134"/>
  <c r="Q135"/>
  <c r="V135" s="1"/>
  <c r="U135"/>
  <c r="Q136"/>
  <c r="V136" s="1"/>
  <c r="U138"/>
  <c r="V139"/>
  <c r="Q140"/>
  <c r="R140" s="1"/>
  <c r="AZ140" s="1"/>
  <c r="U140"/>
  <c r="Q142"/>
  <c r="R142" s="1"/>
  <c r="AZ142" s="1"/>
  <c r="U142"/>
  <c r="V143"/>
  <c r="Q144"/>
  <c r="V144" s="1"/>
  <c r="U144"/>
  <c r="U147"/>
  <c r="U232"/>
  <c r="AZ293"/>
  <c r="AY584"/>
  <c r="I664"/>
  <c r="K664"/>
  <c r="M664"/>
  <c r="Y664"/>
  <c r="AA664"/>
  <c r="AC664"/>
  <c r="G663"/>
  <c r="I663"/>
  <c r="K663"/>
  <c r="M663"/>
  <c r="S663"/>
  <c r="W663"/>
  <c r="Y663"/>
  <c r="AA663"/>
  <c r="AC663"/>
  <c r="G665"/>
  <c r="I665"/>
  <c r="K665"/>
  <c r="M665"/>
  <c r="S665"/>
  <c r="U722"/>
  <c r="Q148"/>
  <c r="R148" s="1"/>
  <c r="AZ148" s="1"/>
  <c r="U148"/>
  <c r="U195"/>
  <c r="U197"/>
  <c r="U199"/>
  <c r="U201"/>
  <c r="U203"/>
  <c r="U207"/>
  <c r="U209"/>
  <c r="U215"/>
  <c r="AY293"/>
  <c r="U396"/>
  <c r="U397"/>
  <c r="U398"/>
  <c r="U399"/>
  <c r="U412"/>
  <c r="U414"/>
  <c r="U416"/>
  <c r="U418"/>
  <c r="U420"/>
  <c r="U502"/>
  <c r="U504"/>
  <c r="U506"/>
  <c r="U508"/>
  <c r="U510"/>
  <c r="U512"/>
  <c r="U514"/>
  <c r="U516"/>
  <c r="U518"/>
  <c r="U520"/>
  <c r="U522"/>
  <c r="U524"/>
  <c r="U526"/>
  <c r="U555"/>
  <c r="U557"/>
  <c r="U559"/>
  <c r="U561"/>
  <c r="U563"/>
  <c r="U565"/>
  <c r="U567"/>
  <c r="U569"/>
  <c r="U571"/>
  <c r="U573"/>
  <c r="U575"/>
  <c r="U577"/>
  <c r="U579"/>
  <c r="U581"/>
  <c r="U583"/>
  <c r="AZ584"/>
  <c r="V585"/>
  <c r="V586"/>
  <c r="V587"/>
  <c r="V588"/>
  <c r="V589"/>
  <c r="V590"/>
  <c r="V591"/>
  <c r="V592"/>
  <c r="V593"/>
  <c r="V594"/>
  <c r="V595"/>
  <c r="V596"/>
  <c r="V597"/>
  <c r="V598"/>
  <c r="V599"/>
  <c r="V600"/>
  <c r="V601"/>
  <c r="V602"/>
  <c r="V603"/>
  <c r="V604"/>
  <c r="U642"/>
  <c r="U644"/>
  <c r="U646"/>
  <c r="U648"/>
  <c r="U650"/>
  <c r="U652"/>
  <c r="U654"/>
  <c r="U656"/>
  <c r="W665"/>
  <c r="Y665"/>
  <c r="AA665"/>
  <c r="AC665"/>
  <c r="R120"/>
  <c r="AZ120" s="1"/>
  <c r="R124"/>
  <c r="AZ124" s="1"/>
  <c r="R128"/>
  <c r="AZ128" s="1"/>
  <c r="R132"/>
  <c r="AZ132" s="1"/>
  <c r="R136"/>
  <c r="AZ136" s="1"/>
  <c r="V140"/>
  <c r="R141"/>
  <c r="AZ141" s="1"/>
  <c r="V141"/>
  <c r="V142"/>
  <c r="R145"/>
  <c r="AZ145" s="1"/>
  <c r="V145"/>
  <c r="AZ92"/>
  <c r="AZ93"/>
  <c r="AZ94"/>
  <c r="AZ95"/>
  <c r="AZ96"/>
  <c r="AZ97"/>
  <c r="AZ98"/>
  <c r="AZ99"/>
  <c r="AZ100"/>
  <c r="AZ101"/>
  <c r="AZ102"/>
  <c r="AZ103"/>
  <c r="AZ104"/>
  <c r="AZ105"/>
  <c r="AZ106"/>
  <c r="AZ107"/>
  <c r="AZ108"/>
  <c r="AZ109"/>
  <c r="AZ110"/>
  <c r="AZ111"/>
  <c r="AZ112"/>
  <c r="AZ113"/>
  <c r="AZ114"/>
  <c r="AZ115"/>
  <c r="AZ116"/>
  <c r="AZ117"/>
  <c r="AZ118"/>
  <c r="AZ119"/>
  <c r="AY121"/>
  <c r="AY125"/>
  <c r="AY129"/>
  <c r="AY133"/>
  <c r="AY137"/>
  <c r="AY146"/>
  <c r="R121"/>
  <c r="AZ121" s="1"/>
  <c r="V121"/>
  <c r="R122"/>
  <c r="AZ122" s="1"/>
  <c r="V122"/>
  <c r="R125"/>
  <c r="AZ125" s="1"/>
  <c r="V125"/>
  <c r="R126"/>
  <c r="AZ126" s="1"/>
  <c r="V126"/>
  <c r="R129"/>
  <c r="AZ129" s="1"/>
  <c r="V129"/>
  <c r="R130"/>
  <c r="AZ130" s="1"/>
  <c r="V130"/>
  <c r="R133"/>
  <c r="AZ133" s="1"/>
  <c r="V133"/>
  <c r="R134"/>
  <c r="AZ134" s="1"/>
  <c r="V134"/>
  <c r="R137"/>
  <c r="AZ137" s="1"/>
  <c r="V137"/>
  <c r="R138"/>
  <c r="AZ138" s="1"/>
  <c r="V138"/>
  <c r="R146"/>
  <c r="AZ146" s="1"/>
  <c r="V146"/>
  <c r="R147"/>
  <c r="AZ147" s="1"/>
  <c r="V147"/>
  <c r="R152"/>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AL92"/>
  <c r="V93"/>
  <c r="AL93"/>
  <c r="V94"/>
  <c r="AL94"/>
  <c r="V95"/>
  <c r="AL95"/>
  <c r="V96"/>
  <c r="AL96"/>
  <c r="V97"/>
  <c r="AL97"/>
  <c r="V98"/>
  <c r="AL98"/>
  <c r="V99"/>
  <c r="AL99"/>
  <c r="V100"/>
  <c r="AL100"/>
  <c r="V101"/>
  <c r="AL101"/>
  <c r="V102"/>
  <c r="AL102"/>
  <c r="V103"/>
  <c r="AL103"/>
  <c r="V104"/>
  <c r="AL104"/>
  <c r="V105"/>
  <c r="AL105"/>
  <c r="V106"/>
  <c r="AL106"/>
  <c r="V107"/>
  <c r="AL107"/>
  <c r="V108"/>
  <c r="AL108"/>
  <c r="V109"/>
  <c r="AL109"/>
  <c r="V110"/>
  <c r="AL110"/>
  <c r="V111"/>
  <c r="AL111"/>
  <c r="V112"/>
  <c r="AL112"/>
  <c r="V113"/>
  <c r="AL113"/>
  <c r="V114"/>
  <c r="AL114"/>
  <c r="V115"/>
  <c r="AL115"/>
  <c r="V116"/>
  <c r="AL116"/>
  <c r="V117"/>
  <c r="AL117"/>
  <c r="V118"/>
  <c r="AL118"/>
  <c r="V119"/>
  <c r="AL119"/>
  <c r="V190"/>
  <c r="V191"/>
  <c r="V192"/>
  <c r="V193"/>
  <c r="V194"/>
  <c r="V195"/>
  <c r="V196"/>
  <c r="V197"/>
  <c r="V198"/>
  <c r="V199"/>
  <c r="V200"/>
  <c r="V201"/>
  <c r="V202"/>
  <c r="V203"/>
  <c r="V204"/>
  <c r="V205"/>
  <c r="V206"/>
  <c r="V207"/>
  <c r="V208"/>
  <c r="V209"/>
  <c r="V210"/>
  <c r="V211"/>
  <c r="V212"/>
  <c r="V213"/>
  <c r="R214"/>
  <c r="AZ214" s="1"/>
  <c r="V214"/>
  <c r="R215"/>
  <c r="AZ215" s="1"/>
  <c r="V215"/>
  <c r="R216"/>
  <c r="AZ216" s="1"/>
  <c r="V216"/>
  <c r="R217"/>
  <c r="AZ217" s="1"/>
  <c r="V217"/>
  <c r="R218"/>
  <c r="AZ218" s="1"/>
  <c r="V218"/>
  <c r="R219"/>
  <c r="AZ219" s="1"/>
  <c r="V219"/>
  <c r="R220"/>
  <c r="AZ220" s="1"/>
  <c r="V220"/>
  <c r="R221"/>
  <c r="AZ221" s="1"/>
  <c r="V221"/>
  <c r="R222"/>
  <c r="AZ222" s="1"/>
  <c r="V222"/>
  <c r="R223"/>
  <c r="AZ223" s="1"/>
  <c r="V223"/>
  <c r="R224"/>
  <c r="AZ224" s="1"/>
  <c r="V224"/>
  <c r="R225"/>
  <c r="AZ225" s="1"/>
  <c r="V225"/>
  <c r="R226"/>
  <c r="AZ226" s="1"/>
  <c r="V226"/>
  <c r="R227"/>
  <c r="AZ227" s="1"/>
  <c r="V227"/>
  <c r="R228"/>
  <c r="AZ228" s="1"/>
  <c r="V228"/>
  <c r="R229"/>
  <c r="AZ229" s="1"/>
  <c r="V229"/>
  <c r="R232"/>
  <c r="AZ232" s="1"/>
  <c r="V232"/>
  <c r="R396"/>
  <c r="AZ396" s="1"/>
  <c r="V396"/>
  <c r="R398"/>
  <c r="AZ398" s="1"/>
  <c r="V398"/>
  <c r="R400"/>
  <c r="AZ400" s="1"/>
  <c r="V400"/>
  <c r="R395"/>
  <c r="AZ395" s="1"/>
  <c r="V395"/>
  <c r="R401"/>
  <c r="AZ401" s="1"/>
  <c r="V401"/>
  <c r="R403"/>
  <c r="AZ403" s="1"/>
  <c r="V403"/>
  <c r="R405"/>
  <c r="AZ405" s="1"/>
  <c r="V405"/>
  <c r="R407"/>
  <c r="AZ407" s="1"/>
  <c r="V407"/>
  <c r="R474"/>
  <c r="AZ474" s="1"/>
  <c r="V474"/>
  <c r="R475"/>
  <c r="AZ475" s="1"/>
  <c r="V475"/>
  <c r="R476"/>
  <c r="AZ476" s="1"/>
  <c r="V476"/>
  <c r="R477"/>
  <c r="AZ477" s="1"/>
  <c r="V477"/>
  <c r="R478"/>
  <c r="AZ478" s="1"/>
  <c r="V478"/>
  <c r="R479"/>
  <c r="AZ479" s="1"/>
  <c r="V479"/>
  <c r="R480"/>
  <c r="AZ480" s="1"/>
  <c r="V480"/>
  <c r="R481"/>
  <c r="AZ481" s="1"/>
  <c r="V481"/>
  <c r="R482"/>
  <c r="AZ482" s="1"/>
  <c r="V482"/>
  <c r="R483"/>
  <c r="AZ483" s="1"/>
  <c r="V483"/>
  <c r="R484"/>
  <c r="AZ484" s="1"/>
  <c r="V484"/>
  <c r="R485"/>
  <c r="AZ485" s="1"/>
  <c r="V485"/>
  <c r="R486"/>
  <c r="AZ486" s="1"/>
  <c r="V486"/>
  <c r="R487"/>
  <c r="AZ487" s="1"/>
  <c r="V487"/>
  <c r="R488"/>
  <c r="AZ488" s="1"/>
  <c r="V488"/>
  <c r="R489"/>
  <c r="AZ489" s="1"/>
  <c r="V489"/>
  <c r="R490"/>
  <c r="AZ490" s="1"/>
  <c r="V490"/>
  <c r="R491"/>
  <c r="AZ491" s="1"/>
  <c r="V491"/>
  <c r="R492"/>
  <c r="AZ492" s="1"/>
  <c r="V492"/>
  <c r="R493"/>
  <c r="AZ493" s="1"/>
  <c r="V493"/>
  <c r="R494"/>
  <c r="AZ494" s="1"/>
  <c r="V494"/>
  <c r="R495"/>
  <c r="AZ495" s="1"/>
  <c r="V495"/>
  <c r="R496"/>
  <c r="AZ496" s="1"/>
  <c r="V496"/>
  <c r="R497"/>
  <c r="AZ497" s="1"/>
  <c r="V497"/>
  <c r="R498"/>
  <c r="AZ498" s="1"/>
  <c r="V498"/>
  <c r="R499"/>
  <c r="AZ499" s="1"/>
  <c r="V499"/>
  <c r="R500"/>
  <c r="AZ500" s="1"/>
  <c r="V500"/>
  <c r="R501"/>
  <c r="AZ501" s="1"/>
  <c r="V501"/>
  <c r="V394"/>
  <c r="V397"/>
  <c r="V399"/>
  <c r="V402"/>
  <c r="V404"/>
  <c r="V406"/>
  <c r="V411"/>
  <c r="V412"/>
  <c r="V413"/>
  <c r="V414"/>
  <c r="V415"/>
  <c r="V416"/>
  <c r="V417"/>
  <c r="V418"/>
  <c r="V419"/>
  <c r="V420"/>
  <c r="U474"/>
  <c r="U476"/>
  <c r="U477"/>
  <c r="U478"/>
  <c r="U479"/>
  <c r="U480"/>
  <c r="U481"/>
  <c r="U482"/>
  <c r="U483"/>
  <c r="U484"/>
  <c r="U485"/>
  <c r="U486"/>
  <c r="U487"/>
  <c r="U488"/>
  <c r="U489"/>
  <c r="U490"/>
  <c r="U491"/>
  <c r="U492"/>
  <c r="U493"/>
  <c r="U494"/>
  <c r="U495"/>
  <c r="U496"/>
  <c r="U497"/>
  <c r="U498"/>
  <c r="U499"/>
  <c r="U500"/>
  <c r="U501"/>
  <c r="V502"/>
  <c r="V503"/>
  <c r="V504"/>
  <c r="V505"/>
  <c r="V506"/>
  <c r="V507"/>
  <c r="V508"/>
  <c r="V509"/>
  <c r="V510"/>
  <c r="V511"/>
  <c r="V512"/>
  <c r="V513"/>
  <c r="V514"/>
  <c r="V515"/>
  <c r="V516"/>
  <c r="V517"/>
  <c r="V518"/>
  <c r="V519"/>
  <c r="V520"/>
  <c r="V521"/>
  <c r="V522"/>
  <c r="V523"/>
  <c r="V524"/>
  <c r="V525"/>
  <c r="V526"/>
  <c r="V554"/>
  <c r="V555"/>
  <c r="V556"/>
  <c r="V557"/>
  <c r="V558"/>
  <c r="V559"/>
  <c r="V560"/>
  <c r="V561"/>
  <c r="V562"/>
  <c r="V563"/>
  <c r="V564"/>
  <c r="V565"/>
  <c r="V566"/>
  <c r="V567"/>
  <c r="V568"/>
  <c r="V569"/>
  <c r="V570"/>
  <c r="V571"/>
  <c r="V572"/>
  <c r="V573"/>
  <c r="V574"/>
  <c r="V575"/>
  <c r="V576"/>
  <c r="V577"/>
  <c r="V578"/>
  <c r="V579"/>
  <c r="V580"/>
  <c r="V581"/>
  <c r="V582"/>
  <c r="V583"/>
  <c r="U657"/>
  <c r="U658"/>
  <c r="AK658"/>
  <c r="U659"/>
  <c r="AK659"/>
  <c r="U660"/>
  <c r="AK660"/>
  <c r="R605"/>
  <c r="AZ605" s="1"/>
  <c r="V605"/>
  <c r="R606"/>
  <c r="AZ606" s="1"/>
  <c r="V606"/>
  <c r="R607"/>
  <c r="AZ607" s="1"/>
  <c r="V607"/>
  <c r="R608"/>
  <c r="AZ608" s="1"/>
  <c r="V608"/>
  <c r="R609"/>
  <c r="AZ609" s="1"/>
  <c r="V609"/>
  <c r="R610"/>
  <c r="AZ610" s="1"/>
  <c r="V610"/>
  <c r="R611"/>
  <c r="AZ611" s="1"/>
  <c r="V611"/>
  <c r="R612"/>
  <c r="AZ612" s="1"/>
  <c r="V612"/>
  <c r="R613"/>
  <c r="AZ613" s="1"/>
  <c r="V613"/>
  <c r="R614"/>
  <c r="AZ614" s="1"/>
  <c r="V614"/>
  <c r="R615"/>
  <c r="AZ615" s="1"/>
  <c r="V615"/>
  <c r="R616"/>
  <c r="AZ616" s="1"/>
  <c r="V616"/>
  <c r="R617"/>
  <c r="AZ617" s="1"/>
  <c r="V617"/>
  <c r="R618"/>
  <c r="AZ618" s="1"/>
  <c r="V618"/>
  <c r="R619"/>
  <c r="AZ619" s="1"/>
  <c r="V619"/>
  <c r="R620"/>
  <c r="AZ620" s="1"/>
  <c r="V620"/>
  <c r="R621"/>
  <c r="AZ621" s="1"/>
  <c r="V621"/>
  <c r="R622"/>
  <c r="AZ622" s="1"/>
  <c r="V622"/>
  <c r="U605"/>
  <c r="U606"/>
  <c r="U607"/>
  <c r="U608"/>
  <c r="U609"/>
  <c r="U610"/>
  <c r="U611"/>
  <c r="U612"/>
  <c r="U613"/>
  <c r="U614"/>
  <c r="U615"/>
  <c r="U616"/>
  <c r="U617"/>
  <c r="U618"/>
  <c r="U619"/>
  <c r="U620"/>
  <c r="U621"/>
  <c r="U622"/>
  <c r="V657"/>
  <c r="AL657"/>
  <c r="V658"/>
  <c r="AL658"/>
  <c r="V660"/>
  <c r="AL660"/>
  <c r="V623"/>
  <c r="V624"/>
  <c r="V625"/>
  <c r="V626"/>
  <c r="V627"/>
  <c r="V628"/>
  <c r="V629"/>
  <c r="V630"/>
  <c r="V631"/>
  <c r="V632"/>
  <c r="V633"/>
  <c r="V634"/>
  <c r="V635"/>
  <c r="V636"/>
  <c r="V637"/>
  <c r="V638"/>
  <c r="V639"/>
  <c r="V640"/>
  <c r="V641"/>
  <c r="V642"/>
  <c r="V643"/>
  <c r="V644"/>
  <c r="V645"/>
  <c r="V646"/>
  <c r="V647"/>
  <c r="V648"/>
  <c r="V649"/>
  <c r="V650"/>
  <c r="V651"/>
  <c r="V652"/>
  <c r="V653"/>
  <c r="V654"/>
  <c r="V655"/>
  <c r="V656"/>
  <c r="H664"/>
  <c r="J664"/>
  <c r="L664"/>
  <c r="N664"/>
  <c r="T664"/>
  <c r="X664"/>
  <c r="Z664"/>
  <c r="AB664"/>
  <c r="AD664"/>
  <c r="H663"/>
  <c r="J663"/>
  <c r="L663"/>
  <c r="N663"/>
  <c r="T663"/>
  <c r="X663"/>
  <c r="Z663"/>
  <c r="AB663"/>
  <c r="AD663"/>
  <c r="X665"/>
  <c r="Z665"/>
  <c r="AB665"/>
  <c r="AD665"/>
  <c r="AE662"/>
  <c r="AF662" s="1"/>
  <c r="G664"/>
  <c r="O664" s="1"/>
  <c r="P664" s="1"/>
  <c r="S664"/>
  <c r="W664"/>
  <c r="AE664" s="1"/>
  <c r="AF664" s="1"/>
  <c r="Q659"/>
  <c r="R659" s="1"/>
  <c r="AG659"/>
  <c r="AH659" s="1"/>
  <c r="O661"/>
  <c r="P661" s="1"/>
  <c r="Q661"/>
  <c r="R661" s="1"/>
  <c r="AE661"/>
  <c r="AF661" s="1"/>
  <c r="AG661"/>
  <c r="AH661" s="1"/>
  <c r="H665"/>
  <c r="J665"/>
  <c r="L665"/>
  <c r="N665"/>
  <c r="T665"/>
  <c r="O662"/>
  <c r="P662" s="1"/>
  <c r="V662"/>
  <c r="AL662"/>
  <c r="V710"/>
  <c r="V711"/>
  <c r="V712"/>
  <c r="V713"/>
  <c r="V714"/>
  <c r="V715"/>
  <c r="V716"/>
  <c r="V717"/>
  <c r="V718"/>
  <c r="V719"/>
  <c r="V720"/>
  <c r="V721"/>
  <c r="V722"/>
  <c r="V723"/>
  <c r="V724"/>
  <c r="V725"/>
  <c r="V726"/>
  <c r="V727"/>
  <c r="V728"/>
  <c r="V729"/>
  <c r="V730"/>
  <c r="AQ54" i="16"/>
  <c r="AQ125"/>
  <c r="AG125"/>
  <c r="S163" i="14" s="1"/>
  <c r="AI125" i="16"/>
  <c r="W163" i="14" s="1"/>
  <c r="AK125" i="16"/>
  <c r="AA163" i="14" s="1"/>
  <c r="AM125" i="16"/>
  <c r="U193" i="14" s="1"/>
  <c r="AO125" i="16"/>
  <c r="Y193" i="14" s="1"/>
  <c r="AA125" i="16"/>
  <c r="U9" i="14" s="1"/>
  <c r="AC125" i="16"/>
  <c r="Y9" i="14" s="1"/>
  <c r="AE125" i="16"/>
  <c r="AC9" i="14" s="1"/>
  <c r="S9"/>
  <c r="AB125" i="16"/>
  <c r="W9" i="14" s="1"/>
  <c r="AD125" i="16"/>
  <c r="AA9" i="14" s="1"/>
  <c r="AF125" i="16"/>
  <c r="AE9" i="14" s="1"/>
  <c r="AH125" i="16"/>
  <c r="U163" i="14" s="1"/>
  <c r="AJ125" i="16"/>
  <c r="Y163" i="14" s="1"/>
  <c r="AL125" i="16"/>
  <c r="S193" i="14" s="1"/>
  <c r="AN125" i="16"/>
  <c r="W193" i="14" s="1"/>
  <c r="AP125" i="16"/>
  <c r="AE11" i="14"/>
  <c r="AF225"/>
  <c r="V148" i="6" l="1"/>
  <c r="R144"/>
  <c r="AZ144" s="1"/>
  <c r="R135"/>
  <c r="AZ135" s="1"/>
  <c r="R131"/>
  <c r="AZ131" s="1"/>
  <c r="R127"/>
  <c r="AZ127" s="1"/>
  <c r="R123"/>
  <c r="AZ123" s="1"/>
  <c r="AK662"/>
  <c r="AY662"/>
  <c r="AK661"/>
  <c r="AK664"/>
  <c r="U664"/>
  <c r="O665"/>
  <c r="O663"/>
  <c r="AE665"/>
  <c r="AE663"/>
  <c r="Q665"/>
  <c r="R665" s="1"/>
  <c r="AZ661"/>
  <c r="U661"/>
  <c r="AZ659"/>
  <c r="AY664"/>
  <c r="AG665"/>
  <c r="AH665" s="1"/>
  <c r="AL661"/>
  <c r="V661"/>
  <c r="AL659"/>
  <c r="V659"/>
  <c r="AY661"/>
  <c r="U662"/>
  <c r="AG663"/>
  <c r="AH663" s="1"/>
  <c r="Q663"/>
  <c r="R663" s="1"/>
  <c r="AG664"/>
  <c r="AH664" s="1"/>
  <c r="Q664"/>
  <c r="R664" s="1"/>
  <c r="AF665" l="1"/>
  <c r="AK665"/>
  <c r="P665"/>
  <c r="AY665" s="1"/>
  <c r="U665"/>
  <c r="AF663"/>
  <c r="AK663"/>
  <c r="P663"/>
  <c r="AY663" s="1"/>
  <c r="U663"/>
  <c r="AZ664"/>
  <c r="AZ663"/>
  <c r="V664"/>
  <c r="AL664"/>
  <c r="V663"/>
  <c r="AL663"/>
  <c r="AL665"/>
  <c r="V665"/>
  <c r="AZ665"/>
  <c r="BA181" i="14"/>
  <c r="AM181"/>
  <c r="BB181"/>
  <c r="O12"/>
  <c r="K13"/>
  <c r="K166"/>
  <c r="X206"/>
  <c r="E26"/>
  <c r="K177"/>
  <c r="G18"/>
  <c r="E11"/>
  <c r="M23"/>
  <c r="M16"/>
  <c r="I14"/>
  <c r="C12"/>
  <c r="E27"/>
  <c r="X200"/>
  <c r="G24"/>
  <c r="O17"/>
  <c r="K182"/>
  <c r="K168"/>
  <c r="G29"/>
  <c r="O14"/>
  <c r="I203"/>
  <c r="O28"/>
  <c r="C23"/>
  <c r="K165"/>
  <c r="E166"/>
  <c r="G210"/>
  <c r="G208"/>
  <c r="E206"/>
  <c r="C181"/>
  <c r="E200"/>
  <c r="G181"/>
  <c r="G205"/>
  <c r="I167"/>
  <c r="E212"/>
  <c r="I166"/>
  <c r="C175"/>
  <c r="C198"/>
  <c r="G171"/>
  <c r="C200"/>
  <c r="G197"/>
  <c r="O18"/>
  <c r="M22"/>
  <c r="M21"/>
  <c r="AD27"/>
  <c r="I28"/>
  <c r="M26"/>
  <c r="C11"/>
  <c r="Z176"/>
  <c r="M13"/>
  <c r="K173"/>
  <c r="C21"/>
  <c r="X207"/>
  <c r="E22"/>
  <c r="E12"/>
  <c r="I16"/>
  <c r="C26"/>
  <c r="O26"/>
  <c r="G26"/>
  <c r="G23"/>
  <c r="AD14"/>
  <c r="G28"/>
  <c r="E14"/>
  <c r="E182"/>
  <c r="C207"/>
  <c r="C182"/>
  <c r="E175"/>
  <c r="I173"/>
  <c r="K26"/>
  <c r="Z165"/>
  <c r="G27"/>
  <c r="X193"/>
  <c r="AD12"/>
  <c r="I24"/>
  <c r="AD23"/>
  <c r="K11"/>
  <c r="I202"/>
  <c r="I12"/>
  <c r="AD18"/>
  <c r="M24"/>
  <c r="I17"/>
  <c r="C29"/>
  <c r="AD19"/>
  <c r="M11"/>
  <c r="I198"/>
  <c r="X195"/>
  <c r="Z178"/>
  <c r="K16"/>
  <c r="X201"/>
  <c r="AD28"/>
  <c r="G14"/>
  <c r="M28"/>
  <c r="C196"/>
  <c r="C170"/>
  <c r="E201"/>
  <c r="E180"/>
  <c r="C201"/>
  <c r="C206"/>
  <c r="E170"/>
  <c r="I183"/>
  <c r="E168"/>
  <c r="I168"/>
  <c r="G203"/>
  <c r="G211"/>
  <c r="Z173"/>
  <c r="E19"/>
  <c r="K23"/>
  <c r="AD26"/>
  <c r="X211"/>
  <c r="Z170"/>
  <c r="Z163"/>
  <c r="K178"/>
  <c r="I18"/>
  <c r="O21"/>
  <c r="E24"/>
  <c r="C213"/>
  <c r="G180"/>
  <c r="E208"/>
  <c r="E196"/>
  <c r="G200"/>
  <c r="G19"/>
  <c r="C202"/>
  <c r="E183"/>
  <c r="G212"/>
  <c r="E17"/>
  <c r="X197"/>
  <c r="I208"/>
  <c r="C24"/>
  <c r="M14"/>
  <c r="C14"/>
  <c r="K12"/>
  <c r="I23"/>
  <c r="O23"/>
  <c r="O29"/>
  <c r="K170"/>
  <c r="K17"/>
  <c r="O22"/>
  <c r="Z180"/>
  <c r="Z175"/>
  <c r="C22"/>
  <c r="AD11"/>
  <c r="K19"/>
  <c r="I11"/>
  <c r="Z177"/>
  <c r="E29"/>
  <c r="I19"/>
  <c r="K22"/>
  <c r="Z183"/>
  <c r="G182"/>
  <c r="G175"/>
  <c r="E171"/>
  <c r="G170"/>
  <c r="E213"/>
  <c r="C197"/>
  <c r="E173"/>
  <c r="C195"/>
  <c r="E178"/>
  <c r="E165"/>
  <c r="G166"/>
  <c r="I181"/>
  <c r="G207"/>
  <c r="E207"/>
  <c r="G177"/>
  <c r="I176"/>
  <c r="E18"/>
  <c r="X196"/>
  <c r="M19"/>
  <c r="X213"/>
  <c r="K14"/>
  <c r="I211"/>
  <c r="AD22"/>
  <c r="I212"/>
  <c r="AD16"/>
  <c r="G22"/>
  <c r="K167"/>
  <c r="G21"/>
  <c r="K21"/>
  <c r="I206"/>
  <c r="AD29"/>
  <c r="M27"/>
  <c r="O16"/>
  <c r="Z167"/>
  <c r="I210"/>
  <c r="G16"/>
  <c r="K180"/>
  <c r="I27"/>
  <c r="G172"/>
  <c r="C203"/>
  <c r="C168"/>
  <c r="E203"/>
  <c r="C166"/>
  <c r="K18"/>
  <c r="X202"/>
  <c r="AD9"/>
  <c r="O27"/>
  <c r="C27"/>
  <c r="O24"/>
  <c r="M18"/>
  <c r="X210"/>
  <c r="I200"/>
  <c r="AD17"/>
  <c r="O13"/>
  <c r="K24"/>
  <c r="I195"/>
  <c r="E28"/>
  <c r="Z181"/>
  <c r="I207"/>
  <c r="O11"/>
  <c r="E21"/>
  <c r="O19"/>
  <c r="C18"/>
  <c r="K175"/>
  <c r="Z182"/>
  <c r="K172"/>
  <c r="G202"/>
  <c r="G168"/>
  <c r="C210"/>
  <c r="C165"/>
  <c r="C177"/>
  <c r="C183"/>
  <c r="E167"/>
  <c r="I165"/>
  <c r="C178"/>
  <c r="C180"/>
  <c r="C172"/>
  <c r="I172"/>
  <c r="E181"/>
  <c r="G165"/>
  <c r="E172"/>
  <c r="C173"/>
  <c r="K28"/>
  <c r="C19"/>
  <c r="K171"/>
  <c r="M12"/>
  <c r="AD21"/>
  <c r="X212"/>
  <c r="I196"/>
  <c r="I201"/>
  <c r="M29"/>
  <c r="X208"/>
  <c r="K176"/>
  <c r="G17"/>
  <c r="K27"/>
  <c r="X198"/>
  <c r="K183"/>
  <c r="C28"/>
  <c r="G13"/>
  <c r="I205"/>
  <c r="Z171"/>
  <c r="I13"/>
  <c r="I21"/>
  <c r="Z172"/>
  <c r="G12"/>
  <c r="Z166"/>
  <c r="E13"/>
  <c r="E202"/>
  <c r="G213"/>
  <c r="G196"/>
  <c r="E197"/>
  <c r="G167"/>
  <c r="I171"/>
  <c r="I178"/>
  <c r="G195"/>
  <c r="C176"/>
  <c r="G198"/>
  <c r="G206"/>
  <c r="E176"/>
  <c r="I22"/>
  <c r="C16"/>
  <c r="C208"/>
  <c r="E198"/>
  <c r="G183"/>
  <c r="G201"/>
  <c r="G178"/>
  <c r="I177"/>
  <c r="C167"/>
  <c r="C211"/>
  <c r="C212"/>
  <c r="E205"/>
  <c r="G176"/>
  <c r="K181"/>
  <c r="Z168"/>
  <c r="AD13"/>
  <c r="I197"/>
  <c r="X203"/>
  <c r="E16"/>
  <c r="C17"/>
  <c r="I26"/>
  <c r="M17"/>
  <c r="G11"/>
  <c r="X205"/>
  <c r="I213"/>
  <c r="C13"/>
  <c r="G173"/>
  <c r="E211"/>
  <c r="C171"/>
  <c r="I182"/>
  <c r="C205"/>
  <c r="E210"/>
  <c r="I175"/>
  <c r="AD24"/>
  <c r="I180"/>
  <c r="E177"/>
  <c r="E195"/>
  <c r="I170"/>
  <c r="H118" i="21"/>
  <c r="B236"/>
  <c r="F148"/>
  <c r="H29"/>
  <c r="D116"/>
  <c r="B145"/>
  <c r="B118"/>
  <c r="F18"/>
  <c r="J115"/>
  <c r="F230"/>
  <c r="H146"/>
  <c r="L26"/>
  <c r="F114"/>
  <c r="D143"/>
  <c r="F113"/>
  <c r="H143"/>
  <c r="F118"/>
  <c r="D235"/>
  <c r="G110"/>
  <c r="I143"/>
  <c r="I113"/>
  <c r="I144"/>
  <c r="H41"/>
  <c r="J141"/>
  <c r="H115"/>
  <c r="B230"/>
  <c r="B106"/>
  <c r="F143"/>
  <c r="C119"/>
  <c r="H47"/>
  <c r="F226"/>
  <c r="G143"/>
  <c r="H116"/>
  <c r="F22"/>
  <c r="B54"/>
  <c r="H141"/>
  <c r="E116"/>
  <c r="F44"/>
  <c r="F239"/>
  <c r="I141"/>
  <c r="J114"/>
  <c r="J18"/>
  <c r="E115"/>
  <c r="C144"/>
  <c r="I119"/>
  <c r="N16"/>
  <c r="B226"/>
  <c r="D144"/>
  <c r="E44"/>
  <c r="J111"/>
  <c r="G113"/>
  <c r="E142"/>
  <c r="D115"/>
  <c r="F13"/>
  <c r="B239"/>
  <c r="F142"/>
  <c r="C42"/>
  <c r="I103"/>
  <c r="D51"/>
  <c r="D109"/>
  <c r="E43"/>
  <c r="J22"/>
  <c r="C49"/>
  <c r="C46"/>
  <c r="J142"/>
  <c r="B111"/>
  <c r="H145"/>
  <c r="G39"/>
  <c r="B115"/>
  <c r="B228"/>
  <c r="B144"/>
  <c r="H24"/>
  <c r="C141"/>
  <c r="F106"/>
  <c r="J143"/>
  <c r="E41"/>
  <c r="D113"/>
  <c r="B241"/>
  <c r="D142"/>
  <c r="B237"/>
  <c r="H142"/>
  <c r="I115"/>
  <c r="J23"/>
  <c r="B141"/>
  <c r="I114"/>
  <c r="D227"/>
  <c r="D104"/>
  <c r="F231"/>
  <c r="J140"/>
  <c r="B114"/>
  <c r="N19"/>
  <c r="F241"/>
  <c r="E143"/>
  <c r="F46"/>
  <c r="F116"/>
  <c r="I140"/>
  <c r="F115"/>
  <c r="H28"/>
  <c r="C56"/>
  <c r="D236"/>
  <c r="G141"/>
  <c r="D43"/>
  <c r="E108"/>
  <c r="B139"/>
  <c r="H113"/>
  <c r="L24"/>
  <c r="C114"/>
  <c r="D224"/>
  <c r="J144"/>
  <c r="D23"/>
  <c r="H111"/>
  <c r="F141"/>
  <c r="J108"/>
  <c r="N11"/>
  <c r="E111"/>
  <c r="D238"/>
  <c r="C143"/>
  <c r="H19"/>
  <c r="J109"/>
  <c r="H101"/>
  <c r="F150"/>
  <c r="G105"/>
  <c r="C116"/>
  <c r="J147"/>
  <c r="B136"/>
  <c r="D52"/>
  <c r="G42"/>
  <c r="D239"/>
  <c r="H148"/>
  <c r="E59"/>
  <c r="G111"/>
  <c r="C146"/>
  <c r="I121"/>
  <c r="B49"/>
  <c r="G132"/>
  <c r="C52"/>
  <c r="B152"/>
  <c r="F47"/>
  <c r="I120"/>
  <c r="G148"/>
  <c r="G135"/>
  <c r="J24"/>
  <c r="F120"/>
  <c r="D241"/>
  <c r="D150"/>
  <c r="D147"/>
  <c r="C132"/>
  <c r="C103"/>
  <c r="B27"/>
  <c r="E147"/>
  <c r="G120"/>
  <c r="E148"/>
  <c r="E47"/>
  <c r="F145"/>
  <c r="D120"/>
  <c r="F240"/>
  <c r="C115"/>
  <c r="G145"/>
  <c r="E118"/>
  <c r="G146"/>
  <c r="C44"/>
  <c r="B147"/>
  <c r="F134"/>
  <c r="E53"/>
  <c r="D237"/>
  <c r="C147"/>
  <c r="D121"/>
  <c r="J28"/>
  <c r="F41"/>
  <c r="D145"/>
  <c r="J120"/>
  <c r="C51"/>
  <c r="B232"/>
  <c r="E145"/>
  <c r="F119"/>
  <c r="N24"/>
  <c r="F59"/>
  <c r="H120"/>
  <c r="E134"/>
  <c r="B46"/>
  <c r="D14"/>
  <c r="F29"/>
  <c r="N13"/>
  <c r="J119"/>
  <c r="H147"/>
  <c r="D132"/>
  <c r="F23"/>
  <c r="F236"/>
  <c r="I147"/>
  <c r="F51"/>
  <c r="D105"/>
  <c r="C118"/>
  <c r="J145"/>
  <c r="B134"/>
  <c r="J19"/>
  <c r="D231"/>
  <c r="B146"/>
  <c r="G47"/>
  <c r="F146"/>
  <c r="H119"/>
  <c r="D149"/>
  <c r="D46"/>
  <c r="G119"/>
  <c r="F238"/>
  <c r="G147"/>
  <c r="G41"/>
  <c r="H144"/>
  <c r="G115"/>
  <c r="F147"/>
  <c r="D229"/>
  <c r="D146"/>
  <c r="E120"/>
  <c r="N29"/>
  <c r="G144"/>
  <c r="E119"/>
  <c r="B238"/>
  <c r="E113"/>
  <c r="B224"/>
  <c r="F144"/>
  <c r="G118"/>
  <c r="F27"/>
  <c r="I142"/>
  <c r="G116"/>
  <c r="F232"/>
  <c r="I108"/>
  <c r="B234"/>
  <c r="J146"/>
  <c r="H53"/>
  <c r="B108"/>
  <c r="E144"/>
  <c r="B120"/>
  <c r="G46"/>
  <c r="H39"/>
  <c r="F228"/>
  <c r="C145"/>
  <c r="H48"/>
  <c r="J121"/>
  <c r="G142"/>
  <c r="D118"/>
  <c r="D42"/>
  <c r="E58"/>
  <c r="D44"/>
  <c r="I146"/>
  <c r="H42"/>
  <c r="I132"/>
  <c r="B110"/>
  <c r="H23"/>
  <c r="H151"/>
  <c r="F135"/>
  <c r="G108"/>
  <c r="L9"/>
  <c r="L22"/>
  <c r="G151"/>
  <c r="D108"/>
  <c r="L19"/>
  <c r="J149"/>
  <c r="H132"/>
  <c r="I105"/>
  <c r="B13"/>
  <c r="D106"/>
  <c r="C135"/>
  <c r="B121"/>
  <c r="B24"/>
  <c r="F151"/>
  <c r="C136"/>
  <c r="H57"/>
  <c r="D48"/>
  <c r="F104"/>
  <c r="D152"/>
  <c r="H114"/>
  <c r="I134"/>
  <c r="G57"/>
  <c r="G137"/>
  <c r="C53"/>
  <c r="J105"/>
  <c r="C152"/>
  <c r="J135"/>
  <c r="L11"/>
  <c r="B132"/>
  <c r="E54"/>
  <c r="H134"/>
  <c r="H49"/>
  <c r="D103"/>
  <c r="E150"/>
  <c r="C134"/>
  <c r="I150"/>
  <c r="G134"/>
  <c r="H106"/>
  <c r="N9"/>
  <c r="J150"/>
  <c r="H105"/>
  <c r="J151"/>
  <c r="B53"/>
  <c r="B149"/>
  <c r="D136"/>
  <c r="J104"/>
  <c r="B23"/>
  <c r="C149"/>
  <c r="I101"/>
  <c r="C150"/>
  <c r="G49"/>
  <c r="C120"/>
  <c r="B142"/>
  <c r="B143"/>
  <c r="E39"/>
  <c r="B58"/>
  <c r="F53"/>
  <c r="G52"/>
  <c r="G150"/>
  <c r="D135"/>
  <c r="B59"/>
  <c r="E49"/>
  <c r="H150"/>
  <c r="E106"/>
  <c r="L14"/>
  <c r="G43"/>
  <c r="I148"/>
  <c r="F132"/>
  <c r="G56"/>
  <c r="C47"/>
  <c r="J148"/>
  <c r="C104"/>
  <c r="D12"/>
  <c r="B105"/>
  <c r="D151"/>
  <c r="I136"/>
  <c r="J29"/>
  <c r="G103"/>
  <c r="E151"/>
  <c r="B101"/>
  <c r="E114"/>
  <c r="H121"/>
  <c r="F149"/>
  <c r="B135"/>
  <c r="B150"/>
  <c r="G104"/>
  <c r="I152"/>
  <c r="H51"/>
  <c r="E135"/>
  <c r="D53"/>
  <c r="C151"/>
  <c r="G48"/>
  <c r="D148"/>
  <c r="F121"/>
  <c r="B151"/>
  <c r="F48"/>
  <c r="E121"/>
  <c r="B51"/>
  <c r="E149"/>
  <c r="B240"/>
  <c r="I149"/>
  <c r="F105"/>
  <c r="D17"/>
  <c r="C148"/>
  <c r="J134"/>
  <c r="B104"/>
  <c r="B17"/>
  <c r="F234"/>
  <c r="B148"/>
  <c r="E101"/>
  <c r="H13"/>
  <c r="E146"/>
  <c r="C140"/>
  <c r="J113"/>
  <c r="F224"/>
  <c r="F101"/>
  <c r="D140"/>
  <c r="H104"/>
  <c r="D141"/>
  <c r="H59"/>
  <c r="E137"/>
  <c r="C111"/>
  <c r="F237"/>
  <c r="G59"/>
  <c r="F137"/>
  <c r="J103"/>
  <c r="F139"/>
  <c r="F57"/>
  <c r="J139"/>
  <c r="G114"/>
  <c r="L29"/>
  <c r="D234"/>
  <c r="B140"/>
  <c r="C113"/>
  <c r="N14"/>
  <c r="C41"/>
  <c r="C137"/>
  <c r="I111"/>
  <c r="D27"/>
  <c r="I110"/>
  <c r="G140"/>
  <c r="H110"/>
  <c r="J9"/>
  <c r="F233"/>
  <c r="H140"/>
  <c r="B44"/>
  <c r="D58"/>
  <c r="B109"/>
  <c r="I137"/>
  <c r="C106"/>
  <c r="B21"/>
  <c r="D228"/>
  <c r="J137"/>
  <c r="B39"/>
  <c r="E139"/>
  <c r="J101"/>
  <c r="C142"/>
  <c r="G58"/>
  <c r="F110"/>
  <c r="F235"/>
  <c r="F140"/>
  <c r="D18"/>
  <c r="G136"/>
  <c r="C101"/>
  <c r="E140"/>
  <c r="E56"/>
  <c r="H108"/>
  <c r="D230"/>
  <c r="H137"/>
  <c r="H14"/>
  <c r="J26"/>
  <c r="H149"/>
  <c r="F54"/>
  <c r="C39"/>
  <c r="L23"/>
  <c r="L18"/>
  <c r="D226"/>
  <c r="C139"/>
  <c r="D111"/>
  <c r="F17"/>
  <c r="F136"/>
  <c r="D110"/>
  <c r="B235"/>
  <c r="F58"/>
  <c r="G152"/>
  <c r="E136"/>
  <c r="F109"/>
  <c r="J13"/>
  <c r="H152"/>
  <c r="F108"/>
  <c r="F229"/>
  <c r="D56"/>
  <c r="B231"/>
  <c r="I139"/>
  <c r="B41"/>
  <c r="B103"/>
  <c r="I135"/>
  <c r="J110"/>
  <c r="D22"/>
  <c r="F49"/>
  <c r="E152"/>
  <c r="B137"/>
  <c r="B42"/>
  <c r="G109"/>
  <c r="B233"/>
  <c r="E141"/>
  <c r="L16"/>
  <c r="C108"/>
  <c r="J136"/>
  <c r="D119"/>
  <c r="B11"/>
  <c r="I106"/>
  <c r="F227"/>
  <c r="G139"/>
  <c r="D13"/>
  <c r="E105"/>
  <c r="E132"/>
  <c r="C110"/>
  <c r="D134"/>
  <c r="E109"/>
  <c r="D232"/>
  <c r="E57"/>
  <c r="H135"/>
  <c r="H58"/>
  <c r="H136"/>
  <c r="D54"/>
  <c r="I151"/>
  <c r="G106"/>
  <c r="B227"/>
  <c r="C54"/>
  <c r="J132"/>
  <c r="F56"/>
  <c r="J152"/>
  <c r="B52"/>
  <c r="D29"/>
  <c r="B119"/>
  <c r="N21"/>
  <c r="D21"/>
  <c r="H109"/>
  <c r="D114"/>
  <c r="H139"/>
  <c r="D9"/>
  <c r="D137"/>
  <c r="H54"/>
  <c r="D24"/>
  <c r="B113"/>
  <c r="F103"/>
  <c r="D16"/>
  <c r="B29"/>
  <c r="H43"/>
  <c r="H21"/>
  <c r="H103"/>
  <c r="N12"/>
  <c r="D139"/>
  <c r="J14"/>
  <c r="C105"/>
  <c r="H56"/>
  <c r="G53"/>
  <c r="N23"/>
  <c r="H26"/>
  <c r="B22"/>
  <c r="G44"/>
  <c r="D49"/>
  <c r="I116"/>
  <c r="I145"/>
  <c r="D19"/>
  <c r="H46"/>
  <c r="E42"/>
  <c r="H52"/>
  <c r="H16"/>
  <c r="B57"/>
  <c r="N22"/>
  <c r="D101"/>
  <c r="L21"/>
  <c r="G121"/>
  <c r="E48"/>
  <c r="N26"/>
  <c r="G149"/>
  <c r="I109"/>
  <c r="L27"/>
  <c r="F21"/>
  <c r="G101"/>
  <c r="H22"/>
  <c r="L13"/>
  <c r="H12"/>
  <c r="L28"/>
  <c r="J12"/>
  <c r="N28"/>
  <c r="J106"/>
  <c r="F152"/>
  <c r="H18"/>
  <c r="F52"/>
  <c r="H9"/>
  <c r="B18"/>
  <c r="C59"/>
  <c r="H44"/>
  <c r="N17"/>
  <c r="B116"/>
  <c r="AG170" i="9"/>
  <c r="J11" i="21"/>
  <c r="F43"/>
  <c r="I118"/>
  <c r="B47"/>
  <c r="D240"/>
  <c r="F111"/>
  <c r="J118"/>
  <c r="G51"/>
  <c r="N18"/>
  <c r="E110"/>
  <c r="B28"/>
  <c r="F28"/>
  <c r="D41"/>
  <c r="B43"/>
  <c r="D233"/>
  <c r="D28"/>
  <c r="H11"/>
  <c r="E51"/>
  <c r="L17"/>
  <c r="N27"/>
  <c r="H27"/>
  <c r="D11"/>
  <c r="C121"/>
  <c r="J116"/>
  <c r="B229"/>
  <c r="D59"/>
  <c r="B14"/>
  <c r="I104"/>
  <c r="C57"/>
  <c r="E104"/>
  <c r="C48"/>
  <c r="C43"/>
  <c r="L12"/>
  <c r="B12"/>
  <c r="B19"/>
  <c r="F12"/>
  <c r="J17"/>
  <c r="F19"/>
  <c r="B26"/>
  <c r="B56"/>
  <c r="C109"/>
  <c r="D47"/>
  <c r="J21"/>
  <c r="J16"/>
  <c r="E46"/>
  <c r="F16"/>
  <c r="F42"/>
  <c r="D57"/>
  <c r="F14"/>
  <c r="B16"/>
  <c r="D39"/>
  <c r="E103"/>
  <c r="C58"/>
  <c r="D26"/>
  <c r="F39"/>
  <c r="F9"/>
  <c r="F24"/>
  <c r="AG167" i="9"/>
  <c r="AF167"/>
  <c r="F26" i="21"/>
  <c r="E52"/>
  <c r="J27"/>
  <c r="F11"/>
  <c r="G54"/>
  <c r="H17"/>
  <c r="B9"/>
  <c r="B48"/>
  <c r="AF170" i="9"/>
  <c r="AH170" l="1"/>
  <c r="BC181" i="14"/>
  <c r="B70" i="21"/>
  <c r="E78"/>
  <c r="D72"/>
  <c r="F88"/>
  <c r="D87"/>
  <c r="AN181" i="14"/>
  <c r="AH167" i="9"/>
  <c r="AO181" i="14"/>
  <c r="D85" i="21"/>
  <c r="D70"/>
  <c r="C87"/>
  <c r="H165"/>
  <c r="B77"/>
  <c r="D75"/>
  <c r="D77"/>
  <c r="F77"/>
  <c r="F82"/>
  <c r="D171"/>
  <c r="B87"/>
  <c r="D80"/>
  <c r="F78"/>
  <c r="D73"/>
  <c r="B80"/>
  <c r="B73"/>
  <c r="G73"/>
  <c r="H166"/>
  <c r="F196"/>
  <c r="B75"/>
  <c r="H208"/>
  <c r="D183"/>
  <c r="C72"/>
  <c r="E88"/>
  <c r="H88"/>
  <c r="G78"/>
  <c r="E72"/>
  <c r="C89"/>
  <c r="D89"/>
  <c r="B89"/>
  <c r="H172"/>
  <c r="H79"/>
  <c r="H210"/>
  <c r="J173"/>
  <c r="F210"/>
  <c r="F72"/>
  <c r="BD181" i="14"/>
  <c r="B178" i="21"/>
  <c r="H78"/>
  <c r="B79"/>
  <c r="E70"/>
  <c r="E79"/>
  <c r="H198"/>
  <c r="H89"/>
  <c r="F73"/>
  <c r="G89"/>
  <c r="E73"/>
  <c r="G74"/>
  <c r="E83"/>
  <c r="B193"/>
  <c r="D82"/>
  <c r="G88"/>
  <c r="F201"/>
  <c r="H87"/>
  <c r="B213"/>
  <c r="G82"/>
  <c r="F163"/>
  <c r="H83"/>
  <c r="E77"/>
  <c r="C80"/>
  <c r="F208"/>
  <c r="B83"/>
  <c r="E87"/>
  <c r="H84"/>
  <c r="D167"/>
  <c r="F75"/>
  <c r="H73"/>
  <c r="D195"/>
  <c r="E82"/>
  <c r="B90"/>
  <c r="C77"/>
  <c r="J165"/>
  <c r="B175"/>
  <c r="C85"/>
  <c r="C70"/>
  <c r="F176"/>
  <c r="D201"/>
  <c r="C82"/>
  <c r="H82"/>
  <c r="B181"/>
  <c r="C90"/>
  <c r="B198"/>
  <c r="H171"/>
  <c r="D172"/>
  <c r="H167"/>
  <c r="C74"/>
  <c r="H227"/>
  <c r="F198"/>
  <c r="B72"/>
  <c r="F181"/>
  <c r="D170"/>
  <c r="G77"/>
  <c r="B201"/>
  <c r="C83"/>
  <c r="H202"/>
  <c r="B165"/>
  <c r="H229"/>
  <c r="J170"/>
  <c r="F74"/>
  <c r="J171"/>
  <c r="F172"/>
  <c r="D78"/>
  <c r="F173"/>
  <c r="G79"/>
  <c r="G84"/>
  <c r="F87"/>
  <c r="E75"/>
  <c r="D200"/>
  <c r="D163"/>
  <c r="C79"/>
  <c r="H235"/>
  <c r="J172"/>
  <c r="H193"/>
  <c r="B82"/>
  <c r="D168"/>
  <c r="B171"/>
  <c r="H233"/>
  <c r="F70"/>
  <c r="D202"/>
  <c r="F202"/>
  <c r="C88"/>
  <c r="F203"/>
  <c r="H75"/>
  <c r="D175"/>
  <c r="G90"/>
  <c r="B206"/>
  <c r="H195"/>
  <c r="H237"/>
  <c r="D173"/>
  <c r="D196"/>
  <c r="J163"/>
  <c r="H224"/>
  <c r="H205"/>
  <c r="E74"/>
  <c r="H163"/>
  <c r="H234"/>
  <c r="B78"/>
  <c r="B166"/>
  <c r="C78"/>
  <c r="J167"/>
  <c r="H183"/>
  <c r="J183"/>
  <c r="B196"/>
  <c r="D213"/>
  <c r="H176"/>
  <c r="B163"/>
  <c r="B195"/>
  <c r="F90"/>
  <c r="B167"/>
  <c r="C73"/>
  <c r="D166"/>
  <c r="G75"/>
  <c r="H168"/>
  <c r="D182"/>
  <c r="F193"/>
  <c r="B84"/>
  <c r="H196"/>
  <c r="D197"/>
  <c r="H70"/>
  <c r="D198"/>
  <c r="F165"/>
  <c r="G72"/>
  <c r="H197"/>
  <c r="D206"/>
  <c r="J166"/>
  <c r="B85"/>
  <c r="B183"/>
  <c r="F168"/>
  <c r="B74"/>
  <c r="F197"/>
  <c r="G80"/>
  <c r="F170"/>
  <c r="G83"/>
  <c r="G70"/>
  <c r="B200"/>
  <c r="E84"/>
  <c r="B172"/>
  <c r="F180"/>
  <c r="H213"/>
  <c r="H228"/>
  <c r="B182"/>
  <c r="B170"/>
  <c r="F200"/>
  <c r="H232"/>
  <c r="B208"/>
  <c r="D88"/>
  <c r="B210"/>
  <c r="H175"/>
  <c r="H181"/>
  <c r="H90"/>
  <c r="H182"/>
  <c r="B207"/>
  <c r="H238"/>
  <c r="B211"/>
  <c r="D211"/>
  <c r="F80"/>
  <c r="D180"/>
  <c r="F167"/>
  <c r="H236"/>
  <c r="D84"/>
  <c r="H211"/>
  <c r="H74"/>
  <c r="D90"/>
  <c r="C75"/>
  <c r="D212"/>
  <c r="H85"/>
  <c r="J181"/>
  <c r="H212"/>
  <c r="F89"/>
  <c r="F183"/>
  <c r="H180"/>
  <c r="D177"/>
  <c r="H240"/>
  <c r="F182"/>
  <c r="B212"/>
  <c r="B88"/>
  <c r="D165"/>
  <c r="J182"/>
  <c r="F85"/>
  <c r="F212"/>
  <c r="F213"/>
  <c r="B203"/>
  <c r="D178"/>
  <c r="B197"/>
  <c r="D193"/>
  <c r="H201"/>
  <c r="E80"/>
  <c r="H173"/>
  <c r="H72"/>
  <c r="H200"/>
  <c r="D203"/>
  <c r="C84"/>
  <c r="D176"/>
  <c r="G85"/>
  <c r="D205"/>
  <c r="H170"/>
  <c r="E89"/>
  <c r="J177"/>
  <c r="J178"/>
  <c r="H241"/>
  <c r="H80"/>
  <c r="B176"/>
  <c r="H231"/>
  <c r="F166"/>
  <c r="F206"/>
  <c r="F84"/>
  <c r="F207"/>
  <c r="F175"/>
  <c r="J168"/>
  <c r="E85"/>
  <c r="B177"/>
  <c r="B173"/>
  <c r="F83"/>
  <c r="F171"/>
  <c r="F195"/>
  <c r="D74"/>
  <c r="F177"/>
  <c r="B205"/>
  <c r="H203"/>
  <c r="H77"/>
  <c r="F211"/>
  <c r="H177"/>
  <c r="F79"/>
  <c r="H206"/>
  <c r="H239"/>
  <c r="H178"/>
  <c r="D83"/>
  <c r="D208"/>
  <c r="H226"/>
  <c r="D181"/>
  <c r="B168"/>
  <c r="D207"/>
  <c r="F205"/>
  <c r="B202"/>
  <c r="J180"/>
  <c r="J175"/>
  <c r="J176"/>
  <c r="G87"/>
  <c r="H230"/>
  <c r="H207"/>
  <c r="D79"/>
  <c r="B180"/>
  <c r="F178"/>
  <c r="E90"/>
  <c r="D210"/>
  <c r="Y148" i="14"/>
  <c r="D237"/>
  <c r="X232"/>
  <c r="S77"/>
  <c r="B233"/>
  <c r="L19"/>
  <c r="H17"/>
  <c r="Z142"/>
  <c r="R152"/>
  <c r="H108"/>
  <c r="F233"/>
  <c r="W73"/>
  <c r="V121"/>
  <c r="Z121"/>
  <c r="G113"/>
  <c r="N13"/>
  <c r="H113"/>
  <c r="T136"/>
  <c r="Q80"/>
  <c r="B14"/>
  <c r="D51"/>
  <c r="E110"/>
  <c r="F111"/>
  <c r="W226"/>
  <c r="Y142"/>
  <c r="F121"/>
  <c r="S118"/>
  <c r="T90"/>
  <c r="G115"/>
  <c r="G106"/>
  <c r="B235"/>
  <c r="D145"/>
  <c r="Z109"/>
  <c r="C111"/>
  <c r="H150"/>
  <c r="Y111"/>
  <c r="S120"/>
  <c r="U88"/>
  <c r="G143"/>
  <c r="W134"/>
  <c r="B101"/>
  <c r="J115"/>
  <c r="R83"/>
  <c r="J104"/>
  <c r="X121"/>
  <c r="X239"/>
  <c r="T111"/>
  <c r="S113"/>
  <c r="J149"/>
  <c r="G120"/>
  <c r="S151"/>
  <c r="H46"/>
  <c r="R150"/>
  <c r="D239"/>
  <c r="U143"/>
  <c r="U145"/>
  <c r="R119"/>
  <c r="T139"/>
  <c r="F231"/>
  <c r="G149"/>
  <c r="V136"/>
  <c r="X116"/>
  <c r="D106"/>
  <c r="U83"/>
  <c r="Y116"/>
  <c r="F51"/>
  <c r="Y146"/>
  <c r="W143"/>
  <c r="H12"/>
  <c r="W238"/>
  <c r="H105"/>
  <c r="B54"/>
  <c r="G47"/>
  <c r="W90"/>
  <c r="H9"/>
  <c r="H18"/>
  <c r="E132"/>
  <c r="C41"/>
  <c r="R132"/>
  <c r="R149"/>
  <c r="H151"/>
  <c r="B116"/>
  <c r="F41"/>
  <c r="I114"/>
  <c r="S79"/>
  <c r="F12"/>
  <c r="N18"/>
  <c r="D58"/>
  <c r="H152"/>
  <c r="I149"/>
  <c r="C109"/>
  <c r="R148"/>
  <c r="I146"/>
  <c r="D231"/>
  <c r="Z119"/>
  <c r="D41"/>
  <c r="D116"/>
  <c r="R145"/>
  <c r="T120"/>
  <c r="T118"/>
  <c r="W120"/>
  <c r="B105"/>
  <c r="U109"/>
  <c r="W109"/>
  <c r="F118"/>
  <c r="U119"/>
  <c r="S136"/>
  <c r="W136"/>
  <c r="U137"/>
  <c r="F47"/>
  <c r="N17"/>
  <c r="I110"/>
  <c r="I141"/>
  <c r="B139"/>
  <c r="G150"/>
  <c r="V229"/>
  <c r="D230"/>
  <c r="B144"/>
  <c r="Z111"/>
  <c r="G54"/>
  <c r="S73"/>
  <c r="D54"/>
  <c r="F24"/>
  <c r="F145"/>
  <c r="W145"/>
  <c r="D150"/>
  <c r="N23"/>
  <c r="N16"/>
  <c r="U132"/>
  <c r="X134"/>
  <c r="Z146"/>
  <c r="W119"/>
  <c r="H59"/>
  <c r="X149"/>
  <c r="F120"/>
  <c r="I113"/>
  <c r="Y108"/>
  <c r="S82"/>
  <c r="R114"/>
  <c r="F151"/>
  <c r="I132"/>
  <c r="F139"/>
  <c r="W113"/>
  <c r="E52"/>
  <c r="W70"/>
  <c r="G110"/>
  <c r="Y114"/>
  <c r="Q90"/>
  <c r="T148"/>
  <c r="F234"/>
  <c r="C43"/>
  <c r="H29"/>
  <c r="J23"/>
  <c r="J145"/>
  <c r="B142"/>
  <c r="Z140"/>
  <c r="Z141"/>
  <c r="D23"/>
  <c r="W115"/>
  <c r="E115"/>
  <c r="X101"/>
  <c r="U151"/>
  <c r="S137"/>
  <c r="B47"/>
  <c r="Z101"/>
  <c r="R79"/>
  <c r="Z137"/>
  <c r="V226"/>
  <c r="F46"/>
  <c r="S115"/>
  <c r="R82"/>
  <c r="C58"/>
  <c r="V77"/>
  <c r="V104"/>
  <c r="F136"/>
  <c r="C105"/>
  <c r="Q73"/>
  <c r="B58"/>
  <c r="L14"/>
  <c r="I134"/>
  <c r="S104"/>
  <c r="W88"/>
  <c r="V75"/>
  <c r="I151"/>
  <c r="Z148"/>
  <c r="U146"/>
  <c r="C108"/>
  <c r="F52"/>
  <c r="H51"/>
  <c r="H48"/>
  <c r="J141"/>
  <c r="W141"/>
  <c r="B119"/>
  <c r="B103"/>
  <c r="S78"/>
  <c r="Y115"/>
  <c r="W78"/>
  <c r="S149"/>
  <c r="X113"/>
  <c r="X110"/>
  <c r="D44"/>
  <c r="H53"/>
  <c r="S105"/>
  <c r="D104"/>
  <c r="H19"/>
  <c r="J103"/>
  <c r="S89"/>
  <c r="X114"/>
  <c r="R80"/>
  <c r="W101"/>
  <c r="J150"/>
  <c r="W224"/>
  <c r="D12"/>
  <c r="H147"/>
  <c r="E147"/>
  <c r="B48"/>
  <c r="T73"/>
  <c r="U111"/>
  <c r="S114"/>
  <c r="N28"/>
  <c r="I143"/>
  <c r="R103"/>
  <c r="E113"/>
  <c r="T74"/>
  <c r="B147"/>
  <c r="B109"/>
  <c r="G139"/>
  <c r="H121"/>
  <c r="E114"/>
  <c r="X230"/>
  <c r="U89"/>
  <c r="B42"/>
  <c r="D46"/>
  <c r="D238"/>
  <c r="X105"/>
  <c r="W110"/>
  <c r="W75"/>
  <c r="D114"/>
  <c r="G114"/>
  <c r="F21"/>
  <c r="B228"/>
  <c r="T119"/>
  <c r="S145"/>
  <c r="J108"/>
  <c r="W152"/>
  <c r="F103"/>
  <c r="W87"/>
  <c r="C145"/>
  <c r="F147"/>
  <c r="D152"/>
  <c r="S141"/>
  <c r="Y105"/>
  <c r="D52"/>
  <c r="J16"/>
  <c r="V233"/>
  <c r="V240"/>
  <c r="J152"/>
  <c r="H27"/>
  <c r="E46"/>
  <c r="D39"/>
  <c r="R73"/>
  <c r="V145"/>
  <c r="D137"/>
  <c r="W89"/>
  <c r="H101"/>
  <c r="G141"/>
  <c r="U135"/>
  <c r="G48"/>
  <c r="G59"/>
  <c r="G148"/>
  <c r="B224"/>
  <c r="G43"/>
  <c r="H106"/>
  <c r="S135"/>
  <c r="J110"/>
  <c r="B141"/>
  <c r="W85"/>
  <c r="W82"/>
  <c r="X150"/>
  <c r="B59"/>
  <c r="S147"/>
  <c r="T78"/>
  <c r="I103"/>
  <c r="Q89"/>
  <c r="X224"/>
  <c r="T113"/>
  <c r="W74"/>
  <c r="U106"/>
  <c r="I121"/>
  <c r="W241"/>
  <c r="J114"/>
  <c r="W233"/>
  <c r="V141"/>
  <c r="I111"/>
  <c r="W77"/>
  <c r="R147"/>
  <c r="T72"/>
  <c r="H120"/>
  <c r="H49"/>
  <c r="H42"/>
  <c r="J27"/>
  <c r="Y106"/>
  <c r="U142"/>
  <c r="R146"/>
  <c r="Q85"/>
  <c r="Y120"/>
  <c r="X234"/>
  <c r="L29"/>
  <c r="F9"/>
  <c r="G119"/>
  <c r="B44"/>
  <c r="X106"/>
  <c r="B41"/>
  <c r="W227"/>
  <c r="X229"/>
  <c r="R115"/>
  <c r="S84"/>
  <c r="B106"/>
  <c r="X152"/>
  <c r="W80"/>
  <c r="D27"/>
  <c r="T80"/>
  <c r="C152"/>
  <c r="E143"/>
  <c r="F119"/>
  <c r="H44"/>
  <c r="G53"/>
  <c r="S103"/>
  <c r="J132"/>
  <c r="J13"/>
  <c r="F13"/>
  <c r="H139"/>
  <c r="Z104"/>
  <c r="V83"/>
  <c r="C39"/>
  <c r="H116"/>
  <c r="F59"/>
  <c r="D110"/>
  <c r="E58"/>
  <c r="D11"/>
  <c r="L28"/>
  <c r="F17"/>
  <c r="J134"/>
  <c r="V235"/>
  <c r="V146"/>
  <c r="Q82"/>
  <c r="B9"/>
  <c r="F28"/>
  <c r="B137"/>
  <c r="F142"/>
  <c r="Q83"/>
  <c r="Y149"/>
  <c r="D121"/>
  <c r="D14"/>
  <c r="L22"/>
  <c r="S116"/>
  <c r="E51"/>
  <c r="I104"/>
  <c r="D47"/>
  <c r="W104"/>
  <c r="B148"/>
  <c r="E44"/>
  <c r="G140"/>
  <c r="W231"/>
  <c r="I108"/>
  <c r="B118"/>
  <c r="F113"/>
  <c r="T110"/>
  <c r="S72"/>
  <c r="F241"/>
  <c r="G147"/>
  <c r="X139"/>
  <c r="Q88"/>
  <c r="U152"/>
  <c r="C106"/>
  <c r="H144"/>
  <c r="Q74"/>
  <c r="G52"/>
  <c r="W240"/>
  <c r="W142"/>
  <c r="R151"/>
  <c r="F57"/>
  <c r="V227"/>
  <c r="F23"/>
  <c r="U141"/>
  <c r="B27"/>
  <c r="J11"/>
  <c r="Y143"/>
  <c r="S85"/>
  <c r="H132"/>
  <c r="G137"/>
  <c r="S142"/>
  <c r="X241"/>
  <c r="W235"/>
  <c r="Y144"/>
  <c r="F14"/>
  <c r="B46"/>
  <c r="F44"/>
  <c r="V110"/>
  <c r="U147"/>
  <c r="W144"/>
  <c r="R108"/>
  <c r="X118"/>
  <c r="W228"/>
  <c r="L17"/>
  <c r="Z152"/>
  <c r="G104"/>
  <c r="R70"/>
  <c r="J137"/>
  <c r="F143"/>
  <c r="W229"/>
  <c r="F115"/>
  <c r="E118"/>
  <c r="H58"/>
  <c r="T82"/>
  <c r="F43"/>
  <c r="E42"/>
  <c r="C140"/>
  <c r="X237"/>
  <c r="Z143"/>
  <c r="S90"/>
  <c r="W149"/>
  <c r="V140"/>
  <c r="I119"/>
  <c r="T150"/>
  <c r="W108"/>
  <c r="E151"/>
  <c r="W234"/>
  <c r="G39"/>
  <c r="W230"/>
  <c r="F22"/>
  <c r="T103"/>
  <c r="D118"/>
  <c r="U110"/>
  <c r="B56"/>
  <c r="W105"/>
  <c r="C146"/>
  <c r="B237"/>
  <c r="T142"/>
  <c r="L27"/>
  <c r="B241"/>
  <c r="B28"/>
  <c r="F238"/>
  <c r="I135"/>
  <c r="J9"/>
  <c r="J105"/>
  <c r="B43"/>
  <c r="B231"/>
  <c r="W232"/>
  <c r="U113"/>
  <c r="Q75"/>
  <c r="U78"/>
  <c r="X115"/>
  <c r="T89"/>
  <c r="W103"/>
  <c r="C47"/>
  <c r="S88"/>
  <c r="B19"/>
  <c r="V115"/>
  <c r="D134"/>
  <c r="B115"/>
  <c r="Y132"/>
  <c r="X108"/>
  <c r="H54"/>
  <c r="E149"/>
  <c r="E146"/>
  <c r="E144"/>
  <c r="D141"/>
  <c r="R144"/>
  <c r="R140"/>
  <c r="H146"/>
  <c r="Z147"/>
  <c r="U148"/>
  <c r="L24"/>
  <c r="S83"/>
  <c r="C48"/>
  <c r="Q79"/>
  <c r="V132"/>
  <c r="T135"/>
  <c r="F236"/>
  <c r="J146"/>
  <c r="T87"/>
  <c r="T141"/>
  <c r="E56"/>
  <c r="G44"/>
  <c r="D132"/>
  <c r="Z116"/>
  <c r="H47"/>
  <c r="V85"/>
  <c r="H134"/>
  <c r="E116"/>
  <c r="V108"/>
  <c r="E121"/>
  <c r="U116"/>
  <c r="T84"/>
  <c r="R113"/>
  <c r="B22"/>
  <c r="X136"/>
  <c r="H110"/>
  <c r="Z120"/>
  <c r="J151"/>
  <c r="T108"/>
  <c r="G103"/>
  <c r="D111"/>
  <c r="V230"/>
  <c r="G42"/>
  <c r="D146"/>
  <c r="F140"/>
  <c r="X151"/>
  <c r="J19"/>
  <c r="B21"/>
  <c r="B149"/>
  <c r="G142"/>
  <c r="D18"/>
  <c r="C142"/>
  <c r="B143"/>
  <c r="C116"/>
  <c r="D143"/>
  <c r="V228"/>
  <c r="G152"/>
  <c r="R77"/>
  <c r="C115"/>
  <c r="S74"/>
  <c r="I148"/>
  <c r="S139"/>
  <c r="H115"/>
  <c r="C132"/>
  <c r="F39"/>
  <c r="E136"/>
  <c r="X103"/>
  <c r="G41"/>
  <c r="G57"/>
  <c r="H43"/>
  <c r="C59"/>
  <c r="R105"/>
  <c r="T145"/>
  <c r="F229"/>
  <c r="Y151"/>
  <c r="S150"/>
  <c r="U140"/>
  <c r="F227"/>
  <c r="Y109"/>
  <c r="V78"/>
  <c r="D139"/>
  <c r="R139"/>
  <c r="Z103"/>
  <c r="T143"/>
  <c r="X233"/>
  <c r="B13"/>
  <c r="Y135"/>
  <c r="R85"/>
  <c r="Y150"/>
  <c r="W139"/>
  <c r="F27"/>
  <c r="V90"/>
  <c r="H22"/>
  <c r="X240"/>
  <c r="T106"/>
  <c r="D28"/>
  <c r="F101"/>
  <c r="X148"/>
  <c r="L18"/>
  <c r="Q87"/>
  <c r="G146"/>
  <c r="U79"/>
  <c r="B145"/>
  <c r="E148"/>
  <c r="W72"/>
  <c r="U108"/>
  <c r="G109"/>
  <c r="E41"/>
  <c r="C57"/>
  <c r="T105"/>
  <c r="S144"/>
  <c r="J139"/>
  <c r="T149"/>
  <c r="U139"/>
  <c r="X235"/>
  <c r="R135"/>
  <c r="V80"/>
  <c r="D108"/>
  <c r="U90"/>
  <c r="I147"/>
  <c r="C139"/>
  <c r="V224"/>
  <c r="H14"/>
  <c r="D29"/>
  <c r="R84"/>
  <c r="N26"/>
  <c r="H145"/>
  <c r="V87"/>
  <c r="I118"/>
  <c r="D142"/>
  <c r="C110"/>
  <c r="X132"/>
  <c r="F53"/>
  <c r="Y103"/>
  <c r="W83"/>
  <c r="W236"/>
  <c r="B29"/>
  <c r="F144"/>
  <c r="H57"/>
  <c r="Y121"/>
  <c r="L11"/>
  <c r="I144"/>
  <c r="T115"/>
  <c r="Q70"/>
  <c r="B57"/>
  <c r="H118"/>
  <c r="B114"/>
  <c r="Y147"/>
  <c r="V73"/>
  <c r="X109"/>
  <c r="U70"/>
  <c r="D48"/>
  <c r="X147"/>
  <c r="V239"/>
  <c r="T75"/>
  <c r="I109"/>
  <c r="J144"/>
  <c r="J121"/>
  <c r="Z118"/>
  <c r="Z113"/>
  <c r="E111"/>
  <c r="C137"/>
  <c r="J118"/>
  <c r="C121"/>
  <c r="R87"/>
  <c r="B26"/>
  <c r="D241"/>
  <c r="H21"/>
  <c r="C134"/>
  <c r="T116"/>
  <c r="W106"/>
  <c r="D226"/>
  <c r="R88"/>
  <c r="D13"/>
  <c r="D233"/>
  <c r="E47"/>
  <c r="Z134"/>
  <c r="H56"/>
  <c r="F108"/>
  <c r="T109"/>
  <c r="Z110"/>
  <c r="V105"/>
  <c r="D49"/>
  <c r="G121"/>
  <c r="N9"/>
  <c r="S110"/>
  <c r="X146"/>
  <c r="F109"/>
  <c r="G51"/>
  <c r="E137"/>
  <c r="G135"/>
  <c r="D149"/>
  <c r="X145"/>
  <c r="T146"/>
  <c r="F237"/>
  <c r="H23"/>
  <c r="H114"/>
  <c r="D140"/>
  <c r="T147"/>
  <c r="L13"/>
  <c r="I140"/>
  <c r="U87"/>
  <c r="B146"/>
  <c r="X141"/>
  <c r="R106"/>
  <c r="R143"/>
  <c r="U101"/>
  <c r="E57"/>
  <c r="G116"/>
  <c r="X119"/>
  <c r="H140"/>
  <c r="C148"/>
  <c r="C149"/>
  <c r="J22"/>
  <c r="H148"/>
  <c r="F16"/>
  <c r="F29"/>
  <c r="G136"/>
  <c r="X228"/>
  <c r="D57"/>
  <c r="F137"/>
  <c r="S134"/>
  <c r="B110"/>
  <c r="J113"/>
  <c r="D136"/>
  <c r="H109"/>
  <c r="Y110"/>
  <c r="U103"/>
  <c r="T77"/>
  <c r="R136"/>
  <c r="C141"/>
  <c r="V144"/>
  <c r="W237"/>
  <c r="Y134"/>
  <c r="S108"/>
  <c r="S87"/>
  <c r="W140"/>
  <c r="G49"/>
  <c r="E106"/>
  <c r="H41"/>
  <c r="Z132"/>
  <c r="S152"/>
  <c r="D26"/>
  <c r="X104"/>
  <c r="B39"/>
  <c r="U105"/>
  <c r="Y152"/>
  <c r="W132"/>
  <c r="C101"/>
  <c r="E54"/>
  <c r="V89"/>
  <c r="R137"/>
  <c r="F19"/>
  <c r="B227"/>
  <c r="X137"/>
  <c r="Q84"/>
  <c r="X120"/>
  <c r="U144"/>
  <c r="E109"/>
  <c r="G132"/>
  <c r="I120"/>
  <c r="R89"/>
  <c r="H135"/>
  <c r="B234"/>
  <c r="R75"/>
  <c r="W79"/>
  <c r="B24"/>
  <c r="U134"/>
  <c r="J29"/>
  <c r="V84"/>
  <c r="D135"/>
  <c r="I101"/>
  <c r="Y118"/>
  <c r="C52"/>
  <c r="Z145"/>
  <c r="W111"/>
  <c r="Y140"/>
  <c r="Y139"/>
  <c r="H26"/>
  <c r="B136"/>
  <c r="T104"/>
  <c r="D24"/>
  <c r="B108"/>
  <c r="E49"/>
  <c r="S119"/>
  <c r="B121"/>
  <c r="D105"/>
  <c r="V237"/>
  <c r="V231"/>
  <c r="V142"/>
  <c r="B229"/>
  <c r="Z136"/>
  <c r="G118"/>
  <c r="V72"/>
  <c r="D113"/>
  <c r="W84"/>
  <c r="E103"/>
  <c r="B134"/>
  <c r="V118"/>
  <c r="S80"/>
  <c r="J116"/>
  <c r="B232"/>
  <c r="Q77"/>
  <c r="G144"/>
  <c r="V152"/>
  <c r="W147"/>
  <c r="B151"/>
  <c r="Z149"/>
  <c r="V120"/>
  <c r="Z150"/>
  <c r="B51"/>
  <c r="U120"/>
  <c r="Y137"/>
  <c r="C103"/>
  <c r="R120"/>
  <c r="R109"/>
  <c r="B16"/>
  <c r="T88"/>
  <c r="L16"/>
  <c r="R142"/>
  <c r="D43"/>
  <c r="N24"/>
  <c r="F106"/>
  <c r="I152"/>
  <c r="R118"/>
  <c r="E152"/>
  <c r="J106"/>
  <c r="V111"/>
  <c r="F104"/>
  <c r="R134"/>
  <c r="E43"/>
  <c r="F148"/>
  <c r="J18"/>
  <c r="V114"/>
  <c r="F240"/>
  <c r="E142"/>
  <c r="D236"/>
  <c r="Z144"/>
  <c r="X238"/>
  <c r="J119"/>
  <c r="T101"/>
  <c r="Q78"/>
  <c r="R74"/>
  <c r="C151"/>
  <c r="C119"/>
  <c r="B11"/>
  <c r="J14"/>
  <c r="U82"/>
  <c r="H28"/>
  <c r="F230"/>
  <c r="U77"/>
  <c r="B49"/>
  <c r="U75"/>
  <c r="G145"/>
  <c r="D103"/>
  <c r="S143"/>
  <c r="F146"/>
  <c r="C136"/>
  <c r="H143"/>
  <c r="F232"/>
  <c r="V148"/>
  <c r="W114"/>
  <c r="V116"/>
  <c r="H137"/>
  <c r="J143"/>
  <c r="J142"/>
  <c r="T151"/>
  <c r="E39"/>
  <c r="V74"/>
  <c r="X144"/>
  <c r="B240"/>
  <c r="J26"/>
  <c r="Z135"/>
  <c r="Z105"/>
  <c r="V234"/>
  <c r="J17"/>
  <c r="J135"/>
  <c r="V119"/>
  <c r="D147"/>
  <c r="B230"/>
  <c r="H11"/>
  <c r="F224"/>
  <c r="J147"/>
  <c r="U121"/>
  <c r="E59"/>
  <c r="Y136"/>
  <c r="D21"/>
  <c r="H13"/>
  <c r="U150"/>
  <c r="D109"/>
  <c r="Z151"/>
  <c r="G58"/>
  <c r="T144"/>
  <c r="Z106"/>
  <c r="C104"/>
  <c r="R110"/>
  <c r="G56"/>
  <c r="X111"/>
  <c r="I142"/>
  <c r="J136"/>
  <c r="U149"/>
  <c r="F149"/>
  <c r="V151"/>
  <c r="B23"/>
  <c r="Z114"/>
  <c r="U104"/>
  <c r="C53"/>
  <c r="S111"/>
  <c r="V236"/>
  <c r="F54"/>
  <c r="B53"/>
  <c r="S140"/>
  <c r="J12"/>
  <c r="R111"/>
  <c r="B113"/>
  <c r="F114"/>
  <c r="E119"/>
  <c r="B239"/>
  <c r="S109"/>
  <c r="R72"/>
  <c r="D101"/>
  <c r="C46"/>
  <c r="E108"/>
  <c r="R78"/>
  <c r="H52"/>
  <c r="X135"/>
  <c r="F228"/>
  <c r="V101"/>
  <c r="J24"/>
  <c r="F132"/>
  <c r="L26"/>
  <c r="I105"/>
  <c r="S121"/>
  <c r="D53"/>
  <c r="E145"/>
  <c r="T134"/>
  <c r="B18"/>
  <c r="Y141"/>
  <c r="F134"/>
  <c r="C147"/>
  <c r="C120"/>
  <c r="C150"/>
  <c r="C49"/>
  <c r="F110"/>
  <c r="Y145"/>
  <c r="N27"/>
  <c r="I139"/>
  <c r="U84"/>
  <c r="C144"/>
  <c r="D115"/>
  <c r="V232"/>
  <c r="H104"/>
  <c r="F105"/>
  <c r="V106"/>
  <c r="D224"/>
  <c r="D42"/>
  <c r="E120"/>
  <c r="V109"/>
  <c r="Z139"/>
  <c r="S106"/>
  <c r="L9"/>
  <c r="N21"/>
  <c r="C56"/>
  <c r="I150"/>
  <c r="J148"/>
  <c r="Q72"/>
  <c r="D235"/>
  <c r="D22"/>
  <c r="C118"/>
  <c r="U80"/>
  <c r="J109"/>
  <c r="B152"/>
  <c r="T132"/>
  <c r="Y104"/>
  <c r="S132"/>
  <c r="U85"/>
  <c r="R104"/>
  <c r="C42"/>
  <c r="I137"/>
  <c r="D151"/>
  <c r="I136"/>
  <c r="V238"/>
  <c r="B238"/>
  <c r="U114"/>
  <c r="G111"/>
  <c r="H39"/>
  <c r="L23"/>
  <c r="H16"/>
  <c r="C113"/>
  <c r="N19"/>
  <c r="D119"/>
  <c r="C54"/>
  <c r="V149"/>
  <c r="W118"/>
  <c r="Y119"/>
  <c r="N11"/>
  <c r="F11"/>
  <c r="E139"/>
  <c r="F135"/>
  <c r="T140"/>
  <c r="X231"/>
  <c r="V70"/>
  <c r="B150"/>
  <c r="Z115"/>
  <c r="L12"/>
  <c r="T79"/>
  <c r="D227"/>
  <c r="V82"/>
  <c r="F239"/>
  <c r="C51"/>
  <c r="T137"/>
  <c r="N12"/>
  <c r="W135"/>
  <c r="D59"/>
  <c r="W239"/>
  <c r="D56"/>
  <c r="B12"/>
  <c r="F58"/>
  <c r="Z108"/>
  <c r="H111"/>
  <c r="Y101"/>
  <c r="V113"/>
  <c r="B132"/>
  <c r="S146"/>
  <c r="W137"/>
  <c r="X142"/>
  <c r="X140"/>
  <c r="F235"/>
  <c r="B236"/>
  <c r="X226"/>
  <c r="S101"/>
  <c r="B52"/>
  <c r="L21"/>
  <c r="G134"/>
  <c r="E48"/>
  <c r="C135"/>
  <c r="E105"/>
  <c r="B104"/>
  <c r="F116"/>
  <c r="F56"/>
  <c r="U72"/>
  <c r="R141"/>
  <c r="U118"/>
  <c r="D120"/>
  <c r="G101"/>
  <c r="H141"/>
  <c r="W116"/>
  <c r="W121"/>
  <c r="T70"/>
  <c r="H119"/>
  <c r="W151"/>
  <c r="N14"/>
  <c r="E135"/>
  <c r="C143"/>
  <c r="I116"/>
  <c r="G151"/>
  <c r="J21"/>
  <c r="F49"/>
  <c r="V103"/>
  <c r="B140"/>
  <c r="F26"/>
  <c r="B17"/>
  <c r="F152"/>
  <c r="F141"/>
  <c r="W148"/>
  <c r="T152"/>
  <c r="J140"/>
  <c r="I115"/>
  <c r="S148"/>
  <c r="B120"/>
  <c r="H136"/>
  <c r="D240"/>
  <c r="T85"/>
  <c r="D148"/>
  <c r="V135"/>
  <c r="H149"/>
  <c r="H103"/>
  <c r="T114"/>
  <c r="R121"/>
  <c r="F48"/>
  <c r="E101"/>
  <c r="J111"/>
  <c r="C44"/>
  <c r="U73"/>
  <c r="J120"/>
  <c r="H142"/>
  <c r="B111"/>
  <c r="D16"/>
  <c r="B135"/>
  <c r="V143"/>
  <c r="F42"/>
  <c r="T83"/>
  <c r="E141"/>
  <c r="X236"/>
  <c r="W150"/>
  <c r="E104"/>
  <c r="E134"/>
  <c r="U74"/>
  <c r="R90"/>
  <c r="S75"/>
  <c r="D232"/>
  <c r="E140"/>
  <c r="D234"/>
  <c r="V134"/>
  <c r="F18"/>
  <c r="X227"/>
  <c r="J28"/>
  <c r="V137"/>
  <c r="G46"/>
  <c r="C114"/>
  <c r="D229"/>
  <c r="J101"/>
  <c r="V241"/>
  <c r="V79"/>
  <c r="V147"/>
  <c r="D144"/>
  <c r="R116"/>
  <c r="G108"/>
  <c r="I106"/>
  <c r="H24"/>
  <c r="D9"/>
  <c r="D19"/>
  <c r="D228"/>
  <c r="R101"/>
  <c r="B226"/>
  <c r="U115"/>
  <c r="V139"/>
  <c r="S70"/>
  <c r="D17"/>
  <c r="G105"/>
  <c r="F150"/>
  <c r="F226"/>
  <c r="V88"/>
  <c r="E150"/>
  <c r="W146"/>
  <c r="T121"/>
  <c r="U136"/>
  <c r="N22"/>
  <c r="E53"/>
  <c r="N29"/>
  <c r="V150"/>
  <c r="X143"/>
  <c r="Y113"/>
  <c r="I145"/>
  <c r="AD205" l="1"/>
  <c r="AZ205"/>
  <c r="H90"/>
  <c r="H83"/>
  <c r="BB183"/>
  <c r="AF183"/>
  <c r="AB226"/>
  <c r="H226"/>
  <c r="B197"/>
  <c r="AM197" s="1"/>
  <c r="C78"/>
  <c r="AG177"/>
  <c r="BC177"/>
  <c r="AD226"/>
  <c r="Z226"/>
  <c r="AD163"/>
  <c r="AA228"/>
  <c r="AE228"/>
  <c r="C80"/>
  <c r="C70"/>
  <c r="E85"/>
  <c r="F198"/>
  <c r="AO198" s="1"/>
  <c r="B200"/>
  <c r="AM200" s="1"/>
  <c r="AD178"/>
  <c r="AZ178"/>
  <c r="Y241"/>
  <c r="H193"/>
  <c r="AE229"/>
  <c r="AA229"/>
  <c r="D176"/>
  <c r="AL176" s="1"/>
  <c r="F89"/>
  <c r="AF227"/>
  <c r="D79"/>
  <c r="AE234"/>
  <c r="AA234"/>
  <c r="AA232"/>
  <c r="AE232"/>
  <c r="H166"/>
  <c r="AN166" s="1"/>
  <c r="AF236"/>
  <c r="C77"/>
  <c r="B173"/>
  <c r="AK173" s="1"/>
  <c r="H212"/>
  <c r="AP212" s="1"/>
  <c r="H203"/>
  <c r="AP203" s="1"/>
  <c r="H163"/>
  <c r="AZ183"/>
  <c r="AD183"/>
  <c r="AF176"/>
  <c r="BB176"/>
  <c r="D195"/>
  <c r="AN195" s="1"/>
  <c r="AE240"/>
  <c r="AA240"/>
  <c r="B182"/>
  <c r="AK182" s="1"/>
  <c r="F207"/>
  <c r="AO207" s="1"/>
  <c r="B78"/>
  <c r="D87"/>
  <c r="BE165"/>
  <c r="AH165"/>
  <c r="F82"/>
  <c r="F208"/>
  <c r="AO208" s="1"/>
  <c r="H75"/>
  <c r="D211"/>
  <c r="AN211" s="1"/>
  <c r="AX213"/>
  <c r="AB213"/>
  <c r="AX208"/>
  <c r="B193"/>
  <c r="F182"/>
  <c r="AM182" s="1"/>
  <c r="AG180"/>
  <c r="BC180"/>
  <c r="J178"/>
  <c r="AP178" s="1"/>
  <c r="B166"/>
  <c r="AK166" s="1"/>
  <c r="H167"/>
  <c r="AN167" s="1"/>
  <c r="G82"/>
  <c r="AE163"/>
  <c r="AF226"/>
  <c r="AD236"/>
  <c r="Z236"/>
  <c r="H235"/>
  <c r="AB235"/>
  <c r="AH175"/>
  <c r="BE175"/>
  <c r="AD193"/>
  <c r="D203"/>
  <c r="AN203" s="1"/>
  <c r="AE200"/>
  <c r="BA200"/>
  <c r="B73"/>
  <c r="H73"/>
  <c r="AB239"/>
  <c r="H239"/>
  <c r="AE227"/>
  <c r="AA227"/>
  <c r="G73"/>
  <c r="AE207"/>
  <c r="BA207"/>
  <c r="AF231"/>
  <c r="D72"/>
  <c r="H72"/>
  <c r="AD211"/>
  <c r="AZ211"/>
  <c r="AX210"/>
  <c r="AB210"/>
  <c r="F181"/>
  <c r="H80"/>
  <c r="D175"/>
  <c r="AL175" s="1"/>
  <c r="E77"/>
  <c r="G84"/>
  <c r="B203"/>
  <c r="AM203" s="1"/>
  <c r="BC176"/>
  <c r="AG176"/>
  <c r="Z238"/>
  <c r="AD238"/>
  <c r="Y238"/>
  <c r="AZ166"/>
  <c r="AD166"/>
  <c r="AZ196"/>
  <c r="AD196"/>
  <c r="H201"/>
  <c r="AP201" s="1"/>
  <c r="D180"/>
  <c r="AL180" s="1"/>
  <c r="C83"/>
  <c r="AE235"/>
  <c r="AA235"/>
  <c r="H82"/>
  <c r="G70"/>
  <c r="BA168"/>
  <c r="AE168"/>
  <c r="AH171"/>
  <c r="BE171"/>
  <c r="H182"/>
  <c r="AE224"/>
  <c r="AA224"/>
  <c r="BE168"/>
  <c r="AH168"/>
  <c r="J167"/>
  <c r="AP167" s="1"/>
  <c r="D196"/>
  <c r="AN196" s="1"/>
  <c r="Y232"/>
  <c r="F177"/>
  <c r="AM177" s="1"/>
  <c r="H88"/>
  <c r="J172"/>
  <c r="AP172" s="1"/>
  <c r="D182"/>
  <c r="AL182" s="1"/>
  <c r="B79"/>
  <c r="AE183"/>
  <c r="BA183"/>
  <c r="F197"/>
  <c r="AO197" s="1"/>
  <c r="G87"/>
  <c r="F85"/>
  <c r="AH163"/>
  <c r="H228"/>
  <c r="AB228"/>
  <c r="H170"/>
  <c r="AN170" s="1"/>
  <c r="F163"/>
  <c r="AE171"/>
  <c r="BA171"/>
  <c r="AD239"/>
  <c r="Z239"/>
  <c r="H181"/>
  <c r="J176"/>
  <c r="AP176" s="1"/>
  <c r="B175"/>
  <c r="AK175" s="1"/>
  <c r="AD173"/>
  <c r="AZ173"/>
  <c r="F73"/>
  <c r="Y236"/>
  <c r="BA173"/>
  <c r="AE173"/>
  <c r="AG166"/>
  <c r="BC166"/>
  <c r="BA206"/>
  <c r="AE206"/>
  <c r="B84"/>
  <c r="AY203"/>
  <c r="AD172"/>
  <c r="AZ172"/>
  <c r="D166"/>
  <c r="AL166" s="1"/>
  <c r="BA198"/>
  <c r="AE198"/>
  <c r="F171"/>
  <c r="AM171" s="1"/>
  <c r="E74"/>
  <c r="C82"/>
  <c r="BC183"/>
  <c r="AG183"/>
  <c r="AB224"/>
  <c r="H224"/>
  <c r="E72"/>
  <c r="AD230"/>
  <c r="Z230"/>
  <c r="AH181"/>
  <c r="BE181"/>
  <c r="F78"/>
  <c r="Y234"/>
  <c r="BA197"/>
  <c r="AE197"/>
  <c r="F87"/>
  <c r="Z240"/>
  <c r="AD240"/>
  <c r="AH178"/>
  <c r="BE178"/>
  <c r="AX206"/>
  <c r="AB206"/>
  <c r="H232"/>
  <c r="AG232" s="1"/>
  <c r="AB232"/>
  <c r="F165"/>
  <c r="AM165" s="1"/>
  <c r="AB230"/>
  <c r="H230"/>
  <c r="E89"/>
  <c r="F75"/>
  <c r="B72"/>
  <c r="D181"/>
  <c r="AF163"/>
  <c r="H211"/>
  <c r="AP211" s="1"/>
  <c r="AF238"/>
  <c r="AA236"/>
  <c r="AE236"/>
  <c r="AB240"/>
  <c r="H240"/>
  <c r="AH176"/>
  <c r="BE176"/>
  <c r="F79"/>
  <c r="J166"/>
  <c r="AP166" s="1"/>
  <c r="BE173"/>
  <c r="AH173"/>
  <c r="H198"/>
  <c r="AP198" s="1"/>
  <c r="AZ180"/>
  <c r="AD180"/>
  <c r="J168"/>
  <c r="AP168" s="1"/>
  <c r="H85"/>
  <c r="G77"/>
  <c r="B77"/>
  <c r="AD171"/>
  <c r="AZ171"/>
  <c r="AD182"/>
  <c r="AZ182"/>
  <c r="D165"/>
  <c r="AL165" s="1"/>
  <c r="AG182"/>
  <c r="BE182"/>
  <c r="BD182" s="1"/>
  <c r="BD163" s="1"/>
  <c r="AH182"/>
  <c r="AD232"/>
  <c r="Z232"/>
  <c r="H208"/>
  <c r="AP208" s="1"/>
  <c r="BE180"/>
  <c r="AH180"/>
  <c r="H165"/>
  <c r="AN165" s="1"/>
  <c r="F175"/>
  <c r="AM175" s="1"/>
  <c r="B210"/>
  <c r="AM210" s="1"/>
  <c r="AD229"/>
  <c r="Z229"/>
  <c r="Y231"/>
  <c r="Y237"/>
  <c r="F167"/>
  <c r="AM167" s="1"/>
  <c r="B183"/>
  <c r="AK183" s="1"/>
  <c r="AE181"/>
  <c r="B170"/>
  <c r="AK170" s="1"/>
  <c r="C85"/>
  <c r="AF166"/>
  <c r="BB166"/>
  <c r="E87"/>
  <c r="AX203"/>
  <c r="AZ210"/>
  <c r="AD210"/>
  <c r="F193"/>
  <c r="F90"/>
  <c r="B85"/>
  <c r="AD234"/>
  <c r="Z234"/>
  <c r="F212"/>
  <c r="AO212" s="1"/>
  <c r="H171"/>
  <c r="AN171" s="1"/>
  <c r="AY212"/>
  <c r="AC212"/>
  <c r="Z227"/>
  <c r="AD227"/>
  <c r="D80"/>
  <c r="D163"/>
  <c r="BC167"/>
  <c r="AG167"/>
  <c r="AY196"/>
  <c r="AC196"/>
  <c r="C87"/>
  <c r="H168"/>
  <c r="AN168" s="1"/>
  <c r="AE170"/>
  <c r="BA170"/>
  <c r="BC165"/>
  <c r="AG165"/>
  <c r="AZ202"/>
  <c r="AD202"/>
  <c r="D201"/>
  <c r="AN201" s="1"/>
  <c r="H205"/>
  <c r="AP205" s="1"/>
  <c r="B172"/>
  <c r="AK172" s="1"/>
  <c r="AF228"/>
  <c r="D90"/>
  <c r="D77"/>
  <c r="F83"/>
  <c r="AY211"/>
  <c r="AC211"/>
  <c r="B208"/>
  <c r="AM208" s="1"/>
  <c r="AG163"/>
  <c r="AD168"/>
  <c r="AZ168"/>
  <c r="G74"/>
  <c r="D206"/>
  <c r="AN206" s="1"/>
  <c r="E84"/>
  <c r="H237"/>
  <c r="AB237"/>
  <c r="J171"/>
  <c r="AP171" s="1"/>
  <c r="BA172"/>
  <c r="AE172"/>
  <c r="H70"/>
  <c r="B213"/>
  <c r="AM213" s="1"/>
  <c r="BE167"/>
  <c r="AH167"/>
  <c r="BA202"/>
  <c r="AE202"/>
  <c r="BB171"/>
  <c r="AF171"/>
  <c r="J170"/>
  <c r="AP170" s="1"/>
  <c r="AA233"/>
  <c r="AE233"/>
  <c r="C74"/>
  <c r="AE226"/>
  <c r="AA226"/>
  <c r="AX198"/>
  <c r="AB198"/>
  <c r="AF178"/>
  <c r="BB178"/>
  <c r="E82"/>
  <c r="AE241"/>
  <c r="AA241"/>
  <c r="B87"/>
  <c r="D183"/>
  <c r="AL183" s="1"/>
  <c r="H210"/>
  <c r="AP210" s="1"/>
  <c r="H173"/>
  <c r="AN173" s="1"/>
  <c r="AE205"/>
  <c r="BA205"/>
  <c r="BA210"/>
  <c r="AE210"/>
  <c r="H213"/>
  <c r="AP213" s="1"/>
  <c r="F201"/>
  <c r="AO201" s="1"/>
  <c r="Y239"/>
  <c r="AY201"/>
  <c r="AC201"/>
  <c r="B176"/>
  <c r="AK176" s="1"/>
  <c r="D210"/>
  <c r="AN210" s="1"/>
  <c r="BB177"/>
  <c r="AF177"/>
  <c r="G72"/>
  <c r="AD213"/>
  <c r="AZ213"/>
  <c r="B90"/>
  <c r="AD195"/>
  <c r="AZ195"/>
  <c r="D172"/>
  <c r="AL172" s="1"/>
  <c r="F210"/>
  <c r="AO210" s="1"/>
  <c r="H87"/>
  <c r="C90"/>
  <c r="E75"/>
  <c r="Y224"/>
  <c r="F170"/>
  <c r="AM170" s="1"/>
  <c r="AF235"/>
  <c r="BB167"/>
  <c r="AF167"/>
  <c r="B201"/>
  <c r="AM201" s="1"/>
  <c r="BC170"/>
  <c r="AG170"/>
  <c r="G79"/>
  <c r="J163"/>
  <c r="C89"/>
  <c r="BB168"/>
  <c r="AF168"/>
  <c r="AF240"/>
  <c r="E83"/>
  <c r="D88"/>
  <c r="B74"/>
  <c r="AF233"/>
  <c r="BA195"/>
  <c r="AE195"/>
  <c r="AZ201"/>
  <c r="AD201"/>
  <c r="H227"/>
  <c r="AB227"/>
  <c r="AB229"/>
  <c r="H229"/>
  <c r="AD167"/>
  <c r="AZ167"/>
  <c r="AY195"/>
  <c r="AC195"/>
  <c r="D207"/>
  <c r="AN207" s="1"/>
  <c r="D177"/>
  <c r="AL177" s="1"/>
  <c r="Y228"/>
  <c r="D178"/>
  <c r="AL178" s="1"/>
  <c r="C79"/>
  <c r="B82"/>
  <c r="F80"/>
  <c r="Y230"/>
  <c r="F173"/>
  <c r="AM173" s="1"/>
  <c r="B195"/>
  <c r="AM195" s="1"/>
  <c r="BB170"/>
  <c r="AF170"/>
  <c r="BA212"/>
  <c r="AE212"/>
  <c r="D202"/>
  <c r="AN202" s="1"/>
  <c r="B83"/>
  <c r="AZ175"/>
  <c r="AD175"/>
  <c r="AG178"/>
  <c r="BC178"/>
  <c r="H183"/>
  <c r="AN183" s="1"/>
  <c r="BE170"/>
  <c r="AH170"/>
  <c r="H178"/>
  <c r="AN178" s="1"/>
  <c r="BA208"/>
  <c r="AB236"/>
  <c r="H236"/>
  <c r="AG236" s="1"/>
  <c r="G85"/>
  <c r="AY200"/>
  <c r="AC200"/>
  <c r="B177"/>
  <c r="AK177" s="1"/>
  <c r="AH177"/>
  <c r="BE177"/>
  <c r="B80"/>
  <c r="AX195"/>
  <c r="AB195"/>
  <c r="AY207"/>
  <c r="AC207"/>
  <c r="AG175"/>
  <c r="BC175"/>
  <c r="AD231"/>
  <c r="Z231"/>
  <c r="H197"/>
  <c r="AP197" s="1"/>
  <c r="F70"/>
  <c r="H238"/>
  <c r="AG238" s="1"/>
  <c r="AB238"/>
  <c r="B89"/>
  <c r="Z241"/>
  <c r="AD241"/>
  <c r="G88"/>
  <c r="Z237"/>
  <c r="AD237"/>
  <c r="AB197"/>
  <c r="AX197"/>
  <c r="AG172"/>
  <c r="BC172"/>
  <c r="F180"/>
  <c r="AM180" s="1"/>
  <c r="AF165"/>
  <c r="BB165"/>
  <c r="D83"/>
  <c r="AB200"/>
  <c r="AX200"/>
  <c r="F211"/>
  <c r="AO211" s="1"/>
  <c r="AF237"/>
  <c r="H180"/>
  <c r="AN180" s="1"/>
  <c r="J177"/>
  <c r="AP177" s="1"/>
  <c r="B196"/>
  <c r="AM196" s="1"/>
  <c r="G78"/>
  <c r="AC210"/>
  <c r="AY210"/>
  <c r="AZ170"/>
  <c r="AD170"/>
  <c r="BE172"/>
  <c r="AH172"/>
  <c r="D75"/>
  <c r="AF241"/>
  <c r="F72"/>
  <c r="B88"/>
  <c r="D84"/>
  <c r="Y227"/>
  <c r="D168"/>
  <c r="AL168" s="1"/>
  <c r="AB241"/>
  <c r="H241"/>
  <c r="AG241" s="1"/>
  <c r="BB172"/>
  <c r="AF172"/>
  <c r="J175"/>
  <c r="AP175" s="1"/>
  <c r="B180"/>
  <c r="AK180" s="1"/>
  <c r="F200"/>
  <c r="AO200" s="1"/>
  <c r="AB196"/>
  <c r="AX196"/>
  <c r="F196"/>
  <c r="AO196" s="1"/>
  <c r="AE178"/>
  <c r="BA178"/>
  <c r="G83"/>
  <c r="C75"/>
  <c r="F183"/>
  <c r="AM183" s="1"/>
  <c r="D89"/>
  <c r="B70"/>
  <c r="Y235"/>
  <c r="D78"/>
  <c r="G89"/>
  <c r="C72"/>
  <c r="F172"/>
  <c r="AM172" s="1"/>
  <c r="D208"/>
  <c r="AN208" s="1"/>
  <c r="BA196"/>
  <c r="AE196"/>
  <c r="D74"/>
  <c r="F74"/>
  <c r="AE165"/>
  <c r="BA165"/>
  <c r="J181"/>
  <c r="AP181" s="1"/>
  <c r="C88"/>
  <c r="B168"/>
  <c r="AK168" s="1"/>
  <c r="AD177"/>
  <c r="AZ177"/>
  <c r="AF229"/>
  <c r="AC198"/>
  <c r="AY198"/>
  <c r="B211"/>
  <c r="AM211" s="1"/>
  <c r="D70"/>
  <c r="G90"/>
  <c r="AF234"/>
  <c r="AZ212"/>
  <c r="AD212"/>
  <c r="AZ198"/>
  <c r="AD198"/>
  <c r="F88"/>
  <c r="D212"/>
  <c r="AN212" s="1"/>
  <c r="F203"/>
  <c r="AO203" s="1"/>
  <c r="H206"/>
  <c r="AP206" s="1"/>
  <c r="F213"/>
  <c r="AO213" s="1"/>
  <c r="BC168"/>
  <c r="AG168"/>
  <c r="AF175"/>
  <c r="BB175"/>
  <c r="AF224"/>
  <c r="F195"/>
  <c r="AO195" s="1"/>
  <c r="H202"/>
  <c r="AP202" s="1"/>
  <c r="D198"/>
  <c r="AN198" s="1"/>
  <c r="AD224"/>
  <c r="Z224"/>
  <c r="D193"/>
  <c r="E88"/>
  <c r="Y240"/>
  <c r="Y233"/>
  <c r="F77"/>
  <c r="AZ197"/>
  <c r="AD197"/>
  <c r="J165"/>
  <c r="AP165" s="1"/>
  <c r="H200"/>
  <c r="AP200" s="1"/>
  <c r="AF181"/>
  <c r="Z228"/>
  <c r="AD228"/>
  <c r="D82"/>
  <c r="B206"/>
  <c r="AM206" s="1"/>
  <c r="F176"/>
  <c r="AM176" s="1"/>
  <c r="AX202"/>
  <c r="AB202"/>
  <c r="AC197"/>
  <c r="AY197"/>
  <c r="AA238"/>
  <c r="AE238"/>
  <c r="AF230"/>
  <c r="H176"/>
  <c r="AN176" s="1"/>
  <c r="D213"/>
  <c r="AN213" s="1"/>
  <c r="B171"/>
  <c r="AK171" s="1"/>
  <c r="H175"/>
  <c r="AN175" s="1"/>
  <c r="AD165"/>
  <c r="AZ165"/>
  <c r="H89"/>
  <c r="AE176"/>
  <c r="BA176"/>
  <c r="BC173"/>
  <c r="AG173"/>
  <c r="C73"/>
  <c r="AB193"/>
  <c r="AY206"/>
  <c r="AC206"/>
  <c r="H195"/>
  <c r="AP195" s="1"/>
  <c r="E80"/>
  <c r="F166"/>
  <c r="AM166" s="1"/>
  <c r="AE167"/>
  <c r="BA167"/>
  <c r="AC202"/>
  <c r="AY202"/>
  <c r="AC205"/>
  <c r="AY205"/>
  <c r="AD207"/>
  <c r="AZ207"/>
  <c r="B165"/>
  <c r="AK165" s="1"/>
  <c r="B181"/>
  <c r="AK181" s="1"/>
  <c r="D170"/>
  <c r="AL170" s="1"/>
  <c r="AE166"/>
  <c r="BA166"/>
  <c r="G75"/>
  <c r="D167"/>
  <c r="AL167" s="1"/>
  <c r="AH166"/>
  <c r="BE166"/>
  <c r="AE177"/>
  <c r="BA177"/>
  <c r="Y226"/>
  <c r="AE193"/>
  <c r="AC193"/>
  <c r="H177"/>
  <c r="AN177" s="1"/>
  <c r="AB207"/>
  <c r="AX207"/>
  <c r="C84"/>
  <c r="F84"/>
  <c r="E90"/>
  <c r="AB234"/>
  <c r="H234"/>
  <c r="AG234" s="1"/>
  <c r="AZ206"/>
  <c r="AD206"/>
  <c r="B202"/>
  <c r="AM202" s="1"/>
  <c r="AX205"/>
  <c r="AB205"/>
  <c r="AZ176"/>
  <c r="AD176"/>
  <c r="AD200"/>
  <c r="AZ200"/>
  <c r="F205"/>
  <c r="AO205" s="1"/>
  <c r="J182"/>
  <c r="AP182" s="1"/>
  <c r="AO182" s="1"/>
  <c r="AO163" s="1"/>
  <c r="AB211"/>
  <c r="AX211"/>
  <c r="H77"/>
  <c r="H84"/>
  <c r="D85"/>
  <c r="BA203"/>
  <c r="AA230"/>
  <c r="AE230"/>
  <c r="Y229"/>
  <c r="F202"/>
  <c r="AO202" s="1"/>
  <c r="H78"/>
  <c r="AG181"/>
  <c r="J180"/>
  <c r="AP180" s="1"/>
  <c r="AB201"/>
  <c r="AX201"/>
  <c r="AG171"/>
  <c r="BC171"/>
  <c r="B167"/>
  <c r="AK167" s="1"/>
  <c r="AX212"/>
  <c r="AB212"/>
  <c r="BB180"/>
  <c r="AF180"/>
  <c r="AF182"/>
  <c r="BB182"/>
  <c r="F178"/>
  <c r="AM178" s="1"/>
  <c r="BA211"/>
  <c r="AE211"/>
  <c r="AE231"/>
  <c r="AA231"/>
  <c r="D171"/>
  <c r="AL171" s="1"/>
  <c r="H79"/>
  <c r="D73"/>
  <c r="F206"/>
  <c r="AO206" s="1"/>
  <c r="B178"/>
  <c r="AK178" s="1"/>
  <c r="E79"/>
  <c r="E70"/>
  <c r="D197"/>
  <c r="AN197" s="1"/>
  <c r="E73"/>
  <c r="AZ208"/>
  <c r="F168"/>
  <c r="AM168" s="1"/>
  <c r="AY208"/>
  <c r="AB231"/>
  <c r="H231"/>
  <c r="AG231" s="1"/>
  <c r="AD181"/>
  <c r="AZ181"/>
  <c r="AA239"/>
  <c r="AE239"/>
  <c r="B212"/>
  <c r="AM212" s="1"/>
  <c r="AE175"/>
  <c r="BA175"/>
  <c r="AF173"/>
  <c r="BB173"/>
  <c r="AF239"/>
  <c r="AY213"/>
  <c r="AC213"/>
  <c r="H196"/>
  <c r="AP196" s="1"/>
  <c r="H207"/>
  <c r="AP207" s="1"/>
  <c r="B163"/>
  <c r="BA182"/>
  <c r="AE182"/>
  <c r="AZ203"/>
  <c r="D173"/>
  <c r="AL173" s="1"/>
  <c r="BA201"/>
  <c r="AE201"/>
  <c r="AD235"/>
  <c r="Z235"/>
  <c r="B198"/>
  <c r="AM198" s="1"/>
  <c r="B207"/>
  <c r="AM207" s="1"/>
  <c r="BA180"/>
  <c r="AE180"/>
  <c r="J183"/>
  <c r="AP183" s="1"/>
  <c r="J173"/>
  <c r="AP173" s="1"/>
  <c r="H172"/>
  <c r="AN172" s="1"/>
  <c r="B75"/>
  <c r="D205"/>
  <c r="AN205" s="1"/>
  <c r="H74"/>
  <c r="B205"/>
  <c r="AM205" s="1"/>
  <c r="BA213"/>
  <c r="AE213"/>
  <c r="AH183"/>
  <c r="BE183"/>
  <c r="AB233"/>
  <c r="H233"/>
  <c r="AG233" s="1"/>
  <c r="D200"/>
  <c r="AN200" s="1"/>
  <c r="E78"/>
  <c r="G80"/>
  <c r="Z233"/>
  <c r="AD233"/>
  <c r="AF232"/>
  <c r="AA237"/>
  <c r="AE237"/>
  <c r="AG224" l="1"/>
  <c r="AC224"/>
  <c r="AK163"/>
  <c r="AP193"/>
  <c r="AZ163"/>
  <c r="AP163"/>
  <c r="AO193"/>
  <c r="BB163"/>
  <c r="AX193"/>
  <c r="AY193"/>
  <c r="AG227"/>
  <c r="BA193"/>
  <c r="AZ193"/>
  <c r="AG237"/>
  <c r="BC163"/>
  <c r="AL163"/>
  <c r="AG240"/>
  <c r="AG228"/>
  <c r="AG239"/>
  <c r="BE163"/>
  <c r="BA163"/>
  <c r="AM193"/>
  <c r="AG229"/>
  <c r="AN163"/>
  <c r="AG230"/>
  <c r="AM163"/>
  <c r="AG235"/>
  <c r="AN193"/>
  <c r="AG226"/>
</calcChain>
</file>

<file path=xl/comments1.xml><?xml version="1.0" encoding="utf-8"?>
<comments xmlns="http://schemas.openxmlformats.org/spreadsheetml/2006/main">
  <authors>
    <author>jmarks</author>
  </authors>
  <commentList>
    <comment ref="C10" authorId="0">
      <text>
        <r>
          <rPr>
            <b/>
            <sz val="10"/>
            <color indexed="81"/>
            <rFont val="Tahoma"/>
            <family val="2"/>
          </rPr>
          <t>jmarks:</t>
        </r>
        <r>
          <rPr>
            <sz val="10"/>
            <color indexed="81"/>
            <rFont val="Tahoma"/>
            <family val="2"/>
          </rPr>
          <t xml:space="preserve">
Formula for regional figure to use when all states report.</t>
        </r>
      </text>
    </comment>
    <comment ref="E10" authorId="0">
      <text>
        <r>
          <rPr>
            <b/>
            <sz val="10"/>
            <color indexed="81"/>
            <rFont val="Tahoma"/>
            <family val="2"/>
          </rPr>
          <t>jmarks:</t>
        </r>
        <r>
          <rPr>
            <sz val="10"/>
            <color indexed="81"/>
            <rFont val="Tahoma"/>
            <family val="2"/>
          </rPr>
          <t xml:space="preserve">
Formula for regional figure to use when all states report.</t>
        </r>
      </text>
    </comment>
    <comment ref="G10" authorId="0">
      <text>
        <r>
          <rPr>
            <b/>
            <sz val="10"/>
            <color indexed="81"/>
            <rFont val="Tahoma"/>
            <family val="2"/>
          </rPr>
          <t>jmarks:</t>
        </r>
        <r>
          <rPr>
            <sz val="10"/>
            <color indexed="81"/>
            <rFont val="Tahoma"/>
            <family val="2"/>
          </rPr>
          <t xml:space="preserve">
Formula for regional figure to use when all states report.</t>
        </r>
      </text>
    </comment>
    <comment ref="I10" authorId="0">
      <text>
        <r>
          <rPr>
            <b/>
            <sz val="10"/>
            <color indexed="81"/>
            <rFont val="Tahoma"/>
            <family val="2"/>
          </rPr>
          <t>jmarks:</t>
        </r>
        <r>
          <rPr>
            <sz val="10"/>
            <color indexed="81"/>
            <rFont val="Tahoma"/>
            <family val="2"/>
          </rPr>
          <t xml:space="preserve">
Formula for regional figure to use when all states report.</t>
        </r>
      </text>
    </comment>
    <comment ref="K10" authorId="0">
      <text>
        <r>
          <rPr>
            <b/>
            <sz val="10"/>
            <color indexed="81"/>
            <rFont val="Tahoma"/>
            <family val="2"/>
          </rPr>
          <t>jmarks:</t>
        </r>
        <r>
          <rPr>
            <sz val="10"/>
            <color indexed="81"/>
            <rFont val="Tahoma"/>
            <family val="2"/>
          </rPr>
          <t xml:space="preserve">
Formula for regional figure to use when all states report.</t>
        </r>
      </text>
    </comment>
    <comment ref="M10" authorId="0">
      <text>
        <r>
          <rPr>
            <b/>
            <sz val="10"/>
            <color indexed="81"/>
            <rFont val="Tahoma"/>
            <family val="2"/>
          </rPr>
          <t>jmarks:</t>
        </r>
        <r>
          <rPr>
            <sz val="10"/>
            <color indexed="81"/>
            <rFont val="Tahoma"/>
            <family val="2"/>
          </rPr>
          <t xml:space="preserve">
Formula for regional figure to use when all states report.</t>
        </r>
      </text>
    </comment>
    <comment ref="O10" authorId="0">
      <text>
        <r>
          <rPr>
            <b/>
            <sz val="10"/>
            <color indexed="81"/>
            <rFont val="Tahoma"/>
            <family val="2"/>
          </rPr>
          <t>jmarks:</t>
        </r>
        <r>
          <rPr>
            <sz val="10"/>
            <color indexed="81"/>
            <rFont val="Tahoma"/>
            <family val="2"/>
          </rPr>
          <t xml:space="preserve">
Formula for regional figure to use when all states report.</t>
        </r>
      </text>
    </comment>
    <comment ref="A164" authorId="0">
      <text>
        <r>
          <rPr>
            <b/>
            <sz val="10"/>
            <color indexed="81"/>
            <rFont val="Tahoma"/>
            <family val="2"/>
          </rPr>
          <t>jmarks:</t>
        </r>
        <r>
          <rPr>
            <sz val="10"/>
            <color indexed="81"/>
            <rFont val="Tahoma"/>
            <family val="2"/>
          </rPr>
          <t xml:space="preserve">
Formulas for regional figures to use when all states report.</t>
        </r>
      </text>
    </comment>
    <comment ref="AL181" authorId="0">
      <text>
        <r>
          <rPr>
            <b/>
            <sz val="8"/>
            <color indexed="81"/>
            <rFont val="Tahoma"/>
            <family val="2"/>
          </rPr>
          <t>jmarks:</t>
        </r>
        <r>
          <rPr>
            <sz val="8"/>
            <color indexed="81"/>
            <rFont val="Tahoma"/>
            <family val="2"/>
          </rPr>
          <t xml:space="preserve">
differs to match grouping of funding data</t>
        </r>
      </text>
    </comment>
    <comment ref="AM181" authorId="0">
      <text>
        <r>
          <rPr>
            <b/>
            <sz val="8"/>
            <color indexed="81"/>
            <rFont val="Tahoma"/>
            <family val="2"/>
          </rPr>
          <t>jmarks:</t>
        </r>
        <r>
          <rPr>
            <sz val="8"/>
            <color indexed="81"/>
            <rFont val="Tahoma"/>
            <family val="2"/>
          </rPr>
          <t xml:space="preserve">
differs to match grouping of funding data</t>
        </r>
      </text>
    </comment>
    <comment ref="AN181" authorId="0">
      <text>
        <r>
          <rPr>
            <b/>
            <sz val="8"/>
            <color indexed="81"/>
            <rFont val="Tahoma"/>
            <family val="2"/>
          </rPr>
          <t>jmarks:</t>
        </r>
        <r>
          <rPr>
            <sz val="8"/>
            <color indexed="81"/>
            <rFont val="Tahoma"/>
            <family val="2"/>
          </rPr>
          <t xml:space="preserve">
differs to match grouping of funding data</t>
        </r>
      </text>
    </comment>
    <comment ref="BA181" authorId="0">
      <text>
        <r>
          <rPr>
            <b/>
            <sz val="8"/>
            <color indexed="81"/>
            <rFont val="Tahoma"/>
            <family val="2"/>
          </rPr>
          <t>jmarks:</t>
        </r>
        <r>
          <rPr>
            <sz val="8"/>
            <color indexed="81"/>
            <rFont val="Tahoma"/>
            <family val="2"/>
          </rPr>
          <t xml:space="preserve">
differs to match grouping of funding data</t>
        </r>
      </text>
    </comment>
    <comment ref="BB181" authorId="0">
      <text>
        <r>
          <rPr>
            <b/>
            <sz val="8"/>
            <color indexed="81"/>
            <rFont val="Tahoma"/>
            <family val="2"/>
          </rPr>
          <t>jmarks:</t>
        </r>
        <r>
          <rPr>
            <sz val="8"/>
            <color indexed="81"/>
            <rFont val="Tahoma"/>
            <family val="2"/>
          </rPr>
          <t xml:space="preserve">
differs to match grouping of funding data</t>
        </r>
      </text>
    </comment>
    <comment ref="BC181" authorId="0">
      <text>
        <r>
          <rPr>
            <b/>
            <sz val="8"/>
            <color indexed="81"/>
            <rFont val="Tahoma"/>
            <family val="2"/>
          </rPr>
          <t>jmarks:</t>
        </r>
        <r>
          <rPr>
            <sz val="8"/>
            <color indexed="81"/>
            <rFont val="Tahoma"/>
            <family val="2"/>
          </rPr>
          <t xml:space="preserve">
differs to match grouping of funding data</t>
        </r>
      </text>
    </comment>
    <comment ref="AN182" authorId="0">
      <text>
        <r>
          <rPr>
            <b/>
            <sz val="8"/>
            <color indexed="81"/>
            <rFont val="Tahoma"/>
            <family val="2"/>
          </rPr>
          <t>jmarks:</t>
        </r>
        <r>
          <rPr>
            <sz val="8"/>
            <color indexed="81"/>
            <rFont val="Tahoma"/>
            <family val="2"/>
          </rPr>
          <t xml:space="preserve">
Since R.Bland is the only campus for which funding is identified, the R.B. FTE are manually put in this column.</t>
        </r>
      </text>
    </comment>
    <comment ref="AO182" authorId="0">
      <text>
        <r>
          <rPr>
            <b/>
            <sz val="8"/>
            <color indexed="81"/>
            <rFont val="Tahoma"/>
            <family val="2"/>
          </rPr>
          <t>jmarks:</t>
        </r>
        <r>
          <rPr>
            <sz val="8"/>
            <color indexed="81"/>
            <rFont val="Tahoma"/>
            <family val="2"/>
          </rPr>
          <t xml:space="preserve">
differs to match grouping of funding dat</t>
        </r>
      </text>
    </comment>
    <comment ref="BC182" authorId="0">
      <text>
        <r>
          <rPr>
            <b/>
            <sz val="8"/>
            <color indexed="81"/>
            <rFont val="Tahoma"/>
            <family val="2"/>
          </rPr>
          <t>jmarks:</t>
        </r>
        <r>
          <rPr>
            <sz val="8"/>
            <color indexed="81"/>
            <rFont val="Tahoma"/>
            <family val="2"/>
          </rPr>
          <t xml:space="preserve">
Since R.Bland is the only campus for which funding is identified, the R.B. FTE are manually put in this column.</t>
        </r>
      </text>
    </comment>
    <comment ref="BD182" authorId="0">
      <text>
        <r>
          <rPr>
            <b/>
            <sz val="8"/>
            <color indexed="81"/>
            <rFont val="Tahoma"/>
            <family val="2"/>
          </rPr>
          <t>jmarks:</t>
        </r>
        <r>
          <rPr>
            <sz val="8"/>
            <color indexed="81"/>
            <rFont val="Tahoma"/>
            <family val="2"/>
          </rPr>
          <t xml:space="preserve">
differs to match grouping of funding dat</t>
        </r>
      </text>
    </comment>
    <comment ref="A194" authorId="0">
      <text>
        <r>
          <rPr>
            <b/>
            <sz val="10"/>
            <color indexed="81"/>
            <rFont val="Tahoma"/>
            <family val="2"/>
          </rPr>
          <t>jmarks:</t>
        </r>
        <r>
          <rPr>
            <sz val="10"/>
            <color indexed="81"/>
            <rFont val="Tahoma"/>
            <family val="2"/>
          </rPr>
          <t xml:space="preserve">
Formulas for regional figures to use when all states report.</t>
        </r>
      </text>
    </comment>
    <comment ref="AF236" authorId="0">
      <text>
        <r>
          <rPr>
            <b/>
            <sz val="10"/>
            <color indexed="81"/>
            <rFont val="Tahoma"/>
            <family val="2"/>
          </rPr>
          <t>jmarks:</t>
        </r>
        <r>
          <rPr>
            <sz val="10"/>
            <color indexed="81"/>
            <rFont val="Tahoma"/>
            <family val="2"/>
          </rPr>
          <t xml:space="preserve">
Formula must be tweaked when there is a decline.
</t>
        </r>
      </text>
    </comment>
  </commentList>
</comments>
</file>

<file path=xl/comments2.xml><?xml version="1.0" encoding="utf-8"?>
<comments xmlns="http://schemas.openxmlformats.org/spreadsheetml/2006/main">
  <authors>
    <author>jmarks</author>
  </authors>
  <commentList>
    <comment ref="A1" author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C10" authorId="0">
      <text>
        <r>
          <rPr>
            <b/>
            <sz val="10"/>
            <color indexed="81"/>
            <rFont val="Tahoma"/>
            <family val="2"/>
          </rPr>
          <t>jmarks:</t>
        </r>
        <r>
          <rPr>
            <sz val="10"/>
            <color indexed="81"/>
            <rFont val="Tahoma"/>
            <family val="2"/>
          </rPr>
          <t xml:space="preserve">
Formula for regional figure to use when all states report.</t>
        </r>
      </text>
    </comment>
    <comment ref="E10" authorId="0">
      <text>
        <r>
          <rPr>
            <b/>
            <sz val="10"/>
            <color indexed="81"/>
            <rFont val="Tahoma"/>
            <family val="2"/>
          </rPr>
          <t>jmarks:</t>
        </r>
        <r>
          <rPr>
            <sz val="10"/>
            <color indexed="81"/>
            <rFont val="Tahoma"/>
            <family val="2"/>
          </rPr>
          <t xml:space="preserve">
Formula for regional figure to use when all states report.</t>
        </r>
      </text>
    </comment>
    <comment ref="G10" authorId="0">
      <text>
        <r>
          <rPr>
            <b/>
            <sz val="10"/>
            <color indexed="81"/>
            <rFont val="Tahoma"/>
            <family val="2"/>
          </rPr>
          <t>jmarks:</t>
        </r>
        <r>
          <rPr>
            <sz val="10"/>
            <color indexed="81"/>
            <rFont val="Tahoma"/>
            <family val="2"/>
          </rPr>
          <t xml:space="preserve">
Formula for regional figure to use when all states report.</t>
        </r>
      </text>
    </comment>
    <comment ref="I10" authorId="0">
      <text>
        <r>
          <rPr>
            <b/>
            <sz val="10"/>
            <color indexed="81"/>
            <rFont val="Tahoma"/>
            <family val="2"/>
          </rPr>
          <t>jmarks:</t>
        </r>
        <r>
          <rPr>
            <sz val="10"/>
            <color indexed="81"/>
            <rFont val="Tahoma"/>
            <family val="2"/>
          </rPr>
          <t xml:space="preserve">
Formula for regional figure to use when all states report.</t>
        </r>
      </text>
    </comment>
    <comment ref="K10" authorId="0">
      <text>
        <r>
          <rPr>
            <b/>
            <sz val="10"/>
            <color indexed="81"/>
            <rFont val="Tahoma"/>
            <family val="2"/>
          </rPr>
          <t>jmarks:</t>
        </r>
        <r>
          <rPr>
            <sz val="10"/>
            <color indexed="81"/>
            <rFont val="Tahoma"/>
            <family val="2"/>
          </rPr>
          <t xml:space="preserve">
Formula for regional figure to use when all states report.</t>
        </r>
      </text>
    </comment>
    <comment ref="M10" authorId="0">
      <text>
        <r>
          <rPr>
            <b/>
            <sz val="10"/>
            <color indexed="81"/>
            <rFont val="Tahoma"/>
            <family val="2"/>
          </rPr>
          <t>jmarks:</t>
        </r>
        <r>
          <rPr>
            <sz val="10"/>
            <color indexed="81"/>
            <rFont val="Tahoma"/>
            <family val="2"/>
          </rPr>
          <t xml:space="preserve">
Formula for regional figure to use when all states report.</t>
        </r>
      </text>
    </comment>
    <comment ref="O10" authorId="0">
      <text>
        <r>
          <rPr>
            <b/>
            <sz val="10"/>
            <color indexed="81"/>
            <rFont val="Tahoma"/>
            <family val="2"/>
          </rPr>
          <t>jmarks:</t>
        </r>
        <r>
          <rPr>
            <sz val="10"/>
            <color indexed="81"/>
            <rFont val="Tahoma"/>
            <family val="2"/>
          </rPr>
          <t xml:space="preserve">
Formula for regional figure to use when all states report.</t>
        </r>
      </text>
    </comment>
    <comment ref="A164" authorId="0">
      <text>
        <r>
          <rPr>
            <b/>
            <sz val="10"/>
            <color indexed="81"/>
            <rFont val="Tahoma"/>
            <family val="2"/>
          </rPr>
          <t>jmarks:</t>
        </r>
        <r>
          <rPr>
            <sz val="10"/>
            <color indexed="81"/>
            <rFont val="Tahoma"/>
            <family val="2"/>
          </rPr>
          <t xml:space="preserve">
Formulas for regional figures to use when all states report.</t>
        </r>
      </text>
    </comment>
    <comment ref="A194" authorId="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3.xml><?xml version="1.0" encoding="utf-8"?>
<comments xmlns="http://schemas.openxmlformats.org/spreadsheetml/2006/main">
  <authors>
    <author>jmarks</author>
  </authors>
  <commentList>
    <comment ref="V125" authorId="0">
      <text>
        <r>
          <rPr>
            <b/>
            <sz val="10"/>
            <color indexed="81"/>
            <rFont val="Tahoma"/>
            <family val="2"/>
          </rPr>
          <t>jmarks:</t>
        </r>
        <r>
          <rPr>
            <sz val="10"/>
            <color indexed="81"/>
            <rFont val="Tahoma"/>
            <family val="2"/>
          </rPr>
          <t xml:space="preserve">
This calculation disqualifies the regional average when the same number of states don't report in both years.
</t>
        </r>
      </text>
    </comment>
  </commentList>
</comments>
</file>

<file path=xl/comments4.xml><?xml version="1.0" encoding="utf-8"?>
<comments xmlns="http://schemas.openxmlformats.org/spreadsheetml/2006/main">
  <authors>
    <author>adiaz</author>
    <author>mloverde</author>
    <author>jmarks</author>
    <author>Alicia A. Diaz</author>
    <author>Alicia A Diaz</author>
    <author>Jeannie Reed</author>
  </authors>
  <commentList>
    <comment ref="A1" authorId="0">
      <text>
        <r>
          <rPr>
            <b/>
            <sz val="8"/>
            <color indexed="10"/>
            <rFont val="Tahoma"/>
            <family val="2"/>
          </rPr>
          <t>adiaz:</t>
        </r>
        <r>
          <rPr>
            <sz val="8"/>
            <color indexed="10"/>
            <rFont val="Tahoma"/>
            <family val="2"/>
          </rPr>
          <t xml:space="preserve">
Double check GA TCS formulas to make sure they're quarterly.</t>
        </r>
      </text>
    </comment>
    <comment ref="P2" authorId="1">
      <text>
        <r>
          <rPr>
            <b/>
            <sz val="10"/>
            <color indexed="81"/>
            <rFont val="Tahoma"/>
            <family val="2"/>
          </rPr>
          <t>jmarks: Formula must "fit" term code: /30 for semesters; /45 for quarters</t>
        </r>
      </text>
    </comment>
    <comment ref="U2" authorId="2">
      <text>
        <r>
          <rPr>
            <b/>
            <sz val="10"/>
            <color indexed="81"/>
            <rFont val="Tahoma"/>
            <family val="2"/>
          </rPr>
          <t>jmarks:</t>
        </r>
        <r>
          <rPr>
            <sz val="10"/>
            <color indexed="81"/>
            <rFont val="Tahoma"/>
            <family val="2"/>
          </rPr>
          <t xml:space="preserve">
To perform weighted averages, totals can only be included when h.s. student data present.</t>
        </r>
      </text>
    </comment>
    <comment ref="V2" authorId="2">
      <text>
        <r>
          <rPr>
            <b/>
            <sz val="10"/>
            <color indexed="81"/>
            <rFont val="Tahoma"/>
            <family val="2"/>
          </rPr>
          <t>jmarks:</t>
        </r>
        <r>
          <rPr>
            <sz val="10"/>
            <color indexed="81"/>
            <rFont val="Tahoma"/>
            <family val="2"/>
          </rPr>
          <t xml:space="preserve">
To perform weighted averages, totals can only be included when h.s. student data present.</t>
        </r>
      </text>
    </comment>
    <comment ref="AF2" authorId="1">
      <text>
        <r>
          <rPr>
            <b/>
            <sz val="8"/>
            <color indexed="81"/>
            <rFont val="Tahoma"/>
            <family val="2"/>
          </rPr>
          <t>Formula is the same for quarter and semester hours - divide total hours by 900.</t>
        </r>
      </text>
    </comment>
    <comment ref="AV2" authorId="1">
      <text>
        <r>
          <rPr>
            <b/>
            <sz val="8"/>
            <color indexed="81"/>
            <rFont val="Tahoma"/>
            <family val="2"/>
          </rPr>
          <t>Formula must "fit" term code: /24 for semesters; /36 for quarters</t>
        </r>
      </text>
    </comment>
    <comment ref="U4" authorId="2">
      <text>
        <r>
          <rPr>
            <b/>
            <sz val="10"/>
            <color indexed="81"/>
            <rFont val="Tahoma"/>
            <family val="2"/>
          </rPr>
          <t>jmarks:</t>
        </r>
        <r>
          <rPr>
            <sz val="10"/>
            <color indexed="81"/>
            <rFont val="Tahoma"/>
            <family val="2"/>
          </rPr>
          <t xml:space="preserve">
To perform weighted averages, totals can only be included when h.s. student data present.</t>
        </r>
      </text>
    </comment>
    <comment ref="AK4" authorId="2">
      <text>
        <r>
          <rPr>
            <b/>
            <sz val="10"/>
            <color indexed="81"/>
            <rFont val="Tahoma"/>
            <family val="2"/>
          </rPr>
          <t>jmarks:</t>
        </r>
        <r>
          <rPr>
            <sz val="10"/>
            <color indexed="81"/>
            <rFont val="Tahoma"/>
            <family val="2"/>
          </rPr>
          <t xml:space="preserve">
To perform weighted averages, totals can only be included when h.s. student data present.</t>
        </r>
      </text>
    </comment>
    <comment ref="C18" authorId="3">
      <text>
        <r>
          <rPr>
            <b/>
            <sz val="8"/>
            <color indexed="81"/>
            <rFont val="Tahoma"/>
            <family val="2"/>
          </rPr>
          <t>No Freshmen, Upper Level school - will not have data in every section.</t>
        </r>
      </text>
    </comment>
    <comment ref="B23" authorId="2">
      <text>
        <r>
          <rPr>
            <b/>
            <sz val="10"/>
            <color indexed="81"/>
            <rFont val="Tahoma"/>
            <family val="2"/>
          </rPr>
          <t>jmarks:</t>
        </r>
        <r>
          <rPr>
            <sz val="10"/>
            <color indexed="81"/>
            <rFont val="Tahoma"/>
            <family val="2"/>
          </rPr>
          <t xml:space="preserve">
Met criteria for Two-Year 1 in 2009-10.</t>
        </r>
      </text>
    </comment>
    <comment ref="B30" authorId="2">
      <text>
        <r>
          <rPr>
            <b/>
            <sz val="10"/>
            <color indexed="81"/>
            <rFont val="Tahoma"/>
            <family val="2"/>
          </rPr>
          <t>jmarks:</t>
        </r>
        <r>
          <rPr>
            <sz val="10"/>
            <color indexed="81"/>
            <rFont val="Tahoma"/>
            <family val="2"/>
          </rPr>
          <t xml:space="preserve">
Met criteria for Two-Year 1 in 2009-10.</t>
        </r>
      </text>
    </comment>
    <comment ref="B32" authorId="2">
      <text>
        <r>
          <rPr>
            <b/>
            <sz val="10"/>
            <color indexed="81"/>
            <rFont val="Tahoma"/>
            <family val="2"/>
          </rPr>
          <t>jmarks:</t>
        </r>
        <r>
          <rPr>
            <sz val="10"/>
            <color indexed="81"/>
            <rFont val="Tahoma"/>
            <family val="2"/>
          </rPr>
          <t xml:space="preserve">
Met criteria for Two-Year 2 in 2009-10.</t>
        </r>
      </text>
    </comment>
    <comment ref="B34" authorId="2">
      <text>
        <r>
          <rPr>
            <b/>
            <sz val="10"/>
            <color indexed="81"/>
            <rFont val="Tahoma"/>
            <family val="2"/>
          </rPr>
          <t>jmarks:</t>
        </r>
        <r>
          <rPr>
            <sz val="10"/>
            <color indexed="81"/>
            <rFont val="Tahoma"/>
            <family val="2"/>
          </rPr>
          <t xml:space="preserve">
Met criteria for Two-Year 2 in 2009-10.</t>
        </r>
      </text>
    </comment>
    <comment ref="B38" authorId="3">
      <text>
        <r>
          <rPr>
            <sz val="10"/>
            <color indexed="81"/>
            <rFont val="Tahoma"/>
            <family val="2"/>
          </rPr>
          <t>Met the criteria for Two-Year 2 in 2008-09 and 2009-10.</t>
        </r>
      </text>
    </comment>
    <comment ref="B50" authorId="1">
      <text>
        <r>
          <rPr>
            <sz val="10"/>
            <color indexed="81"/>
            <rFont val="Tahoma"/>
            <family val="2"/>
          </rPr>
          <t>Met the criteria for Four-Year 4 in 2009-10</t>
        </r>
      </text>
    </comment>
    <comment ref="B56" authorId="2">
      <text>
        <r>
          <rPr>
            <b/>
            <sz val="10"/>
            <color indexed="81"/>
            <rFont val="Tahoma"/>
            <family val="2"/>
          </rPr>
          <t>jmarks:</t>
        </r>
        <r>
          <rPr>
            <sz val="10"/>
            <color indexed="81"/>
            <rFont val="Tahoma"/>
            <family val="2"/>
          </rPr>
          <t xml:space="preserve">
Met the criteria for Two-Year 1 in 2009-10.</t>
        </r>
      </text>
    </comment>
    <comment ref="B64" authorId="1">
      <text>
        <r>
          <rPr>
            <sz val="10"/>
            <color indexed="81"/>
            <rFont val="Tahoma"/>
            <family val="2"/>
          </rPr>
          <t>Met the criteria for Two-Year 2 in 2008-09 and 2009-10.</t>
        </r>
      </text>
    </comment>
    <comment ref="B79" authorId="2">
      <text>
        <r>
          <rPr>
            <b/>
            <sz val="10"/>
            <color indexed="81"/>
            <rFont val="Tahoma"/>
            <family val="2"/>
          </rPr>
          <t>jmarks:</t>
        </r>
        <r>
          <rPr>
            <sz val="10"/>
            <color indexed="81"/>
            <rFont val="Tahoma"/>
            <family val="2"/>
          </rPr>
          <t xml:space="preserve">
Met the criteria for Two-Year 1 in 2009-10.</t>
        </r>
      </text>
    </comment>
    <comment ref="B80" authorId="3">
      <text>
        <r>
          <rPr>
            <b/>
            <sz val="8"/>
            <color indexed="81"/>
            <rFont val="Tahoma"/>
            <family val="2"/>
          </rPr>
          <t>Reclassified: Met the criteria for SREB Two-Year 2 2007-08, 2008-09 and 2009-10.</t>
        </r>
      </text>
    </comment>
    <comment ref="B81" authorId="1">
      <text>
        <r>
          <rPr>
            <sz val="10"/>
            <color indexed="81"/>
            <rFont val="Tahoma"/>
            <family val="2"/>
          </rPr>
          <t>Reclassified: Met the criteria for Four-Year 1 in 2007-08, 2008-09 and 2009-10.</t>
        </r>
      </text>
    </comment>
    <comment ref="E82" authorId="4">
      <text>
        <r>
          <rPr>
            <b/>
            <sz val="9"/>
            <color indexed="81"/>
            <rFont val="Tahoma"/>
            <family val="2"/>
          </rPr>
          <t>From Charlene Coles for all FLBOG schools:
This year they decided to report all credit not just fundable.  I am updating the prior year of elearning… will send that soon.</t>
        </r>
      </text>
    </comment>
    <comment ref="B93" authorId="3">
      <text>
        <r>
          <rPr>
            <sz val="10"/>
            <color indexed="81"/>
            <rFont val="Tahoma"/>
            <family val="2"/>
          </rPr>
          <t>Reclassified: Met the criteria for Two-Year with Bachelor's in 2007-08, 2008-09 and 2009-10.</t>
        </r>
      </text>
    </comment>
    <comment ref="B99" authorId="3">
      <text>
        <r>
          <rPr>
            <sz val="10"/>
            <color indexed="81"/>
            <rFont val="Tahoma"/>
            <family val="2"/>
          </rPr>
          <t>Met the criteria for Two-Year with Bachelor's in 2008-09 and 2009-10.</t>
        </r>
      </text>
    </comment>
    <comment ref="B100" authorId="3">
      <text>
        <r>
          <rPr>
            <sz val="10"/>
            <color indexed="81"/>
            <rFont val="Tahoma"/>
            <family val="2"/>
          </rPr>
          <t>Met the criteria for Two-Year with Bachelor's in 2009-10.</t>
        </r>
      </text>
    </comment>
    <comment ref="B102" authorId="3">
      <text>
        <r>
          <rPr>
            <sz val="10"/>
            <color indexed="81"/>
            <rFont val="Tahoma"/>
            <family val="2"/>
          </rPr>
          <t>Met the criteria for Two-Year with Bachelor's in 2009-10.</t>
        </r>
      </text>
    </comment>
    <comment ref="B106" authorId="3">
      <text>
        <r>
          <rPr>
            <sz val="10"/>
            <color indexed="81"/>
            <rFont val="Tahoma"/>
            <family val="2"/>
          </rPr>
          <t>Reclassified: Met the criteria for a Two-Year 1 in 2007-08, 2008-09 and 2009-10.</t>
        </r>
      </text>
    </comment>
    <comment ref="B109" authorId="2">
      <text>
        <r>
          <rPr>
            <b/>
            <sz val="10"/>
            <color indexed="81"/>
            <rFont val="Tahoma"/>
            <family val="2"/>
          </rPr>
          <t>jmarks:</t>
        </r>
        <r>
          <rPr>
            <sz val="10"/>
            <color indexed="81"/>
            <rFont val="Tahoma"/>
            <family val="2"/>
          </rPr>
          <t xml:space="preserve">
Formerly Manatee Community College</t>
        </r>
      </text>
    </comment>
    <comment ref="B112" authorId="3">
      <text>
        <r>
          <rPr>
            <sz val="10"/>
            <color indexed="81"/>
            <rFont val="Tahoma"/>
            <family val="2"/>
          </rPr>
          <t>Met the criteria for Two-Year 1 in 2008-09 and 2009-10.</t>
        </r>
      </text>
    </comment>
    <comment ref="B113" authorId="2">
      <text>
        <r>
          <rPr>
            <b/>
            <sz val="10"/>
            <color indexed="81"/>
            <rFont val="Tahoma"/>
            <family val="2"/>
          </rPr>
          <t>jmarks:</t>
        </r>
        <r>
          <rPr>
            <sz val="10"/>
            <color indexed="81"/>
            <rFont val="Tahoma"/>
            <family val="2"/>
          </rPr>
          <t xml:space="preserve">
Met the criteria for Two-Year 1 in 2009-10.</t>
        </r>
      </text>
    </comment>
    <comment ref="B136" authorId="2">
      <text>
        <r>
          <rPr>
            <b/>
            <sz val="10"/>
            <color indexed="81"/>
            <rFont val="Tahoma"/>
            <family val="2"/>
          </rPr>
          <t>jmarks:</t>
        </r>
        <r>
          <rPr>
            <sz val="10"/>
            <color indexed="81"/>
            <rFont val="Tahoma"/>
            <family val="2"/>
          </rPr>
          <t xml:space="preserve">
Met the criteria for Four-Year 5 in 2009-10.</t>
        </r>
      </text>
    </comment>
    <comment ref="B140" authorId="2">
      <text>
        <r>
          <rPr>
            <sz val="10"/>
            <color indexed="81"/>
            <rFont val="Tahoma"/>
            <family val="2"/>
          </rPr>
          <t>Met the criteria for Two-Year with Bachelor's in 2009-10.</t>
        </r>
      </text>
    </comment>
    <comment ref="B144" authorId="3">
      <text>
        <r>
          <rPr>
            <sz val="10"/>
            <color indexed="81"/>
            <rFont val="Tahoma"/>
            <family val="2"/>
          </rPr>
          <t>Met criteria for Two-Year with Bachelors in 2008-09 and 2009-10.</t>
        </r>
      </text>
    </comment>
    <comment ref="B146" authorId="2">
      <text>
        <r>
          <rPr>
            <sz val="10"/>
            <color indexed="81"/>
            <rFont val="Tahoma"/>
            <family val="2"/>
          </rPr>
          <t>Met the criteria for Two-Year with Bachelor's in 2009-10.</t>
        </r>
      </text>
    </comment>
    <comment ref="B148" authorId="2">
      <text>
        <r>
          <rPr>
            <b/>
            <sz val="10"/>
            <color indexed="81"/>
            <rFont val="Tahoma"/>
            <family val="2"/>
          </rPr>
          <t>jmarks:</t>
        </r>
        <r>
          <rPr>
            <sz val="10"/>
            <color indexed="81"/>
            <rFont val="Tahoma"/>
            <family val="2"/>
          </rPr>
          <t xml:space="preserve">
Met the criteria for Two-Year 2 in 2009-10.</t>
        </r>
      </text>
    </comment>
    <comment ref="B149" authorId="2">
      <text>
        <r>
          <rPr>
            <b/>
            <sz val="10"/>
            <color indexed="81"/>
            <rFont val="Tahoma"/>
            <family val="2"/>
          </rPr>
          <t>jmarks:</t>
        </r>
        <r>
          <rPr>
            <sz val="10"/>
            <color indexed="81"/>
            <rFont val="Tahoma"/>
            <family val="2"/>
          </rPr>
          <t xml:space="preserve">
Met the criteria for Two-Year 2 in 2009-10.</t>
        </r>
      </text>
    </comment>
    <comment ref="B152" authorId="2">
      <text>
        <r>
          <rPr>
            <b/>
            <sz val="10"/>
            <color indexed="81"/>
            <rFont val="Tahoma"/>
            <family val="2"/>
          </rPr>
          <t>jmarks:</t>
        </r>
        <r>
          <rPr>
            <sz val="10"/>
            <color indexed="81"/>
            <rFont val="Tahoma"/>
            <family val="2"/>
          </rPr>
          <t xml:space="preserve">
In start up phase.</t>
        </r>
      </text>
    </comment>
    <comment ref="B158" authorId="2">
      <text>
        <r>
          <rPr>
            <b/>
            <sz val="10"/>
            <color indexed="81"/>
            <rFont val="Tahoma"/>
            <family val="2"/>
          </rPr>
          <t>jmarks:</t>
        </r>
        <r>
          <rPr>
            <sz val="10"/>
            <color indexed="81"/>
            <rFont val="Tahoma"/>
            <family val="2"/>
          </rPr>
          <t xml:space="preserve">
Now includes former Appalachian Technical College and North Metro Technical College.</t>
        </r>
      </text>
    </comment>
    <comment ref="B162" authorId="2">
      <text>
        <r>
          <rPr>
            <b/>
            <sz val="10"/>
            <color indexed="81"/>
            <rFont val="Tahoma"/>
            <family val="2"/>
          </rPr>
          <t>jmarks:</t>
        </r>
        <r>
          <rPr>
            <sz val="10"/>
            <color indexed="81"/>
            <rFont val="Tahoma"/>
            <family val="2"/>
          </rPr>
          <t xml:space="preserve">
Is the merger of Coosa Valley Technical College and Northwestern Technical College.</t>
        </r>
      </text>
    </comment>
    <comment ref="B174" authorId="3">
      <text>
        <r>
          <rPr>
            <sz val="10"/>
            <color indexed="81"/>
            <rFont val="Tahoma"/>
            <family val="2"/>
          </rPr>
          <t>Reclassified: Now includes former Swainsboro Technical College and meets the criteria for a Technical Institute or College 1.</t>
        </r>
      </text>
    </comment>
    <comment ref="B177" authorId="2">
      <text>
        <r>
          <rPr>
            <b/>
            <sz val="10"/>
            <color indexed="81"/>
            <rFont val="Tahoma"/>
            <family val="2"/>
          </rPr>
          <t>jmarks:</t>
        </r>
        <r>
          <rPr>
            <sz val="10"/>
            <color indexed="81"/>
            <rFont val="Tahoma"/>
            <family val="2"/>
          </rPr>
          <t xml:space="preserve">
Is the merger of West Georgia Technical College and West Central Technical College.</t>
        </r>
      </text>
    </comment>
    <comment ref="B178" authorId="3">
      <text>
        <r>
          <rPr>
            <b/>
            <sz val="8"/>
            <color indexed="81"/>
            <rFont val="Tahoma"/>
            <family val="2"/>
          </rPr>
          <t>met criteria for tech institute 1 ("12") in 2008-09</t>
        </r>
      </text>
    </comment>
    <comment ref="B179" authorId="3">
      <text>
        <r>
          <rPr>
            <b/>
            <sz val="8"/>
            <color indexed="81"/>
            <rFont val="Tahoma"/>
            <family val="2"/>
          </rPr>
          <t>met criteria for tech institute 1 ("12") in 2008-09</t>
        </r>
      </text>
    </comment>
    <comment ref="B186" authorId="1">
      <text>
        <r>
          <rPr>
            <sz val="10"/>
            <color indexed="81"/>
            <rFont val="Tahoma"/>
            <family val="2"/>
          </rPr>
          <t>Met the criteria for Four-Year 3 in 2008-09 and 2009-10.</t>
        </r>
      </text>
    </comment>
    <comment ref="B188" authorId="1">
      <text>
        <r>
          <rPr>
            <sz val="10"/>
            <color indexed="81"/>
            <rFont val="Tahoma"/>
            <family val="2"/>
          </rPr>
          <t>Met the criteria for Four-Year 4 in 2008-09 and 2009-10.</t>
        </r>
      </text>
    </comment>
    <comment ref="B202" authorId="2">
      <text>
        <r>
          <rPr>
            <b/>
            <sz val="10"/>
            <color indexed="81"/>
            <rFont val="Tahoma"/>
            <family val="2"/>
          </rPr>
          <t>jmarks:</t>
        </r>
        <r>
          <rPr>
            <sz val="10"/>
            <color indexed="81"/>
            <rFont val="Tahoma"/>
            <family val="2"/>
          </rPr>
          <t xml:space="preserve">
Met the criteria for Two-Year 2 in 2009-10.</t>
        </r>
      </text>
    </comment>
    <comment ref="B217" authorId="1">
      <text>
        <r>
          <rPr>
            <sz val="10"/>
            <color indexed="81"/>
            <rFont val="Tahoma"/>
            <family val="2"/>
          </rPr>
          <t>Reclassified: Met the criteria for Four-year 4 in 2007-08, 2008-09 and 2009-10.</t>
        </r>
      </text>
    </comment>
    <comment ref="B218" authorId="2">
      <text>
        <r>
          <rPr>
            <b/>
            <sz val="10"/>
            <color indexed="81"/>
            <rFont val="Tahoma"/>
            <family val="2"/>
          </rPr>
          <t>jmarks:</t>
        </r>
        <r>
          <rPr>
            <sz val="10"/>
            <color indexed="81"/>
            <rFont val="Tahoma"/>
            <family val="2"/>
          </rPr>
          <t xml:space="preserve">
Met the criteria for Four-Year 6 in 2009-10.</t>
        </r>
      </text>
    </comment>
    <comment ref="B220" authorId="3">
      <text>
        <r>
          <rPr>
            <sz val="10"/>
            <color indexed="81"/>
            <rFont val="Tahoma"/>
            <family val="2"/>
          </rPr>
          <t>Met criteria for Two-Year 1 in 2008-09 and 2009-10.</t>
        </r>
      </text>
    </comment>
    <comment ref="B226" authorId="3">
      <text>
        <r>
          <rPr>
            <sz val="10"/>
            <color indexed="81"/>
            <rFont val="Tahoma"/>
            <family val="2"/>
          </rPr>
          <t>Met criteria for Two-Year 2 in 2008-09 and 2009-10.</t>
        </r>
      </text>
    </comment>
    <comment ref="B227" authorId="3">
      <text>
        <r>
          <rPr>
            <sz val="10"/>
            <color indexed="81"/>
            <rFont val="Tahoma"/>
            <family val="2"/>
          </rPr>
          <t>Met criteria for Two-Year 2 in 2009-10.</t>
        </r>
      </text>
    </comment>
    <comment ref="B229" authorId="2">
      <text>
        <r>
          <rPr>
            <b/>
            <sz val="10"/>
            <color indexed="81"/>
            <rFont val="Tahoma"/>
            <family val="2"/>
          </rPr>
          <t>jmarks:</t>
        </r>
        <r>
          <rPr>
            <sz val="10"/>
            <color indexed="81"/>
            <rFont val="Tahoma"/>
            <family val="2"/>
          </rPr>
          <t xml:space="preserve">
Met the criteria for Technical Institute or College 1 in 2009-10.</t>
        </r>
      </text>
    </comment>
    <comment ref="B273" authorId="2">
      <text>
        <r>
          <rPr>
            <b/>
            <sz val="10"/>
            <color indexed="81"/>
            <rFont val="Tahoma"/>
            <family val="2"/>
          </rPr>
          <t>jmarks:</t>
        </r>
        <r>
          <rPr>
            <sz val="10"/>
            <color indexed="81"/>
            <rFont val="Tahoma"/>
            <family val="2"/>
          </rPr>
          <t xml:space="preserve">
Met the criteria for  Four-Year 2 in 2009-10.</t>
        </r>
      </text>
    </comment>
    <comment ref="B288" authorId="2">
      <text>
        <r>
          <rPr>
            <b/>
            <sz val="10"/>
            <color indexed="81"/>
            <rFont val="Tahoma"/>
            <family val="2"/>
          </rPr>
          <t>jmarks:</t>
        </r>
        <r>
          <rPr>
            <sz val="10"/>
            <color indexed="81"/>
            <rFont val="Tahoma"/>
            <family val="2"/>
          </rPr>
          <t xml:space="preserve">
Met the criteria for Two-Year 1 in 2009-10.
</t>
        </r>
      </text>
    </comment>
    <comment ref="B292" authorId="2">
      <text>
        <r>
          <rPr>
            <b/>
            <sz val="10"/>
            <color indexed="81"/>
            <rFont val="Tahoma"/>
            <family val="2"/>
          </rPr>
          <t>jmarks:</t>
        </r>
        <r>
          <rPr>
            <sz val="10"/>
            <color indexed="81"/>
            <rFont val="Tahoma"/>
            <family val="2"/>
          </rPr>
          <t xml:space="preserve">
Met the criteria for Two-Year 1 in 2009-10.
</t>
        </r>
      </text>
    </comment>
    <comment ref="B293" authorId="1">
      <text>
        <r>
          <rPr>
            <sz val="10"/>
            <color indexed="81"/>
            <rFont val="Tahoma"/>
            <family val="2"/>
          </rPr>
          <t xml:space="preserve">Met the criteria for Two-Year 2 in 2008-09 and 2009-10.
</t>
        </r>
      </text>
    </comment>
    <comment ref="B297" authorId="1">
      <text>
        <r>
          <rPr>
            <sz val="10"/>
            <color indexed="81"/>
            <rFont val="Tahoma"/>
            <family val="2"/>
          </rPr>
          <t xml:space="preserve">Met the criteria for Two-Year 2 in 2008-09 and 2009-10.
</t>
        </r>
      </text>
    </comment>
    <comment ref="B304" authorId="1">
      <text>
        <r>
          <rPr>
            <sz val="10"/>
            <color indexed="81"/>
            <rFont val="Tahoma"/>
            <family val="2"/>
          </rPr>
          <t>Reclassified: Met the criteria for Four-Year 4 in 2007-08, 2008-09 and 2009-10.</t>
        </r>
      </text>
    </comment>
    <comment ref="B312" authorId="3">
      <text>
        <r>
          <rPr>
            <b/>
            <sz val="8"/>
            <color indexed="81"/>
            <rFont val="Tahoma"/>
            <family val="2"/>
          </rPr>
          <t>met criteria as a SREB two-year 1 ("8") institution in 2008-09 and 2009-10</t>
        </r>
      </text>
    </comment>
    <comment ref="B324" authorId="2">
      <text>
        <r>
          <rPr>
            <b/>
            <sz val="10"/>
            <color indexed="81"/>
            <rFont val="Tahoma"/>
            <family val="2"/>
          </rPr>
          <t>jmarks:</t>
        </r>
        <r>
          <rPr>
            <sz val="10"/>
            <color indexed="81"/>
            <rFont val="Tahoma"/>
            <family val="2"/>
          </rPr>
          <t xml:space="preserve">
Met the criteria for Four-Year 1 in 2009-10.</t>
        </r>
      </text>
    </comment>
    <comment ref="G336" authorId="0">
      <text>
        <r>
          <rPr>
            <b/>
            <sz val="8"/>
            <color indexed="81"/>
            <rFont val="Tahoma"/>
            <family val="2"/>
          </rPr>
          <t xml:space="preserve">Semester Credit Hours:  We had unprecedented growth last year.
On the 2008 high school credits, I have totally replaced what was submitted last year.  When those data were run, a program error (my error) resulted in the data being run for the academic year and not the semesters that are in the survey.  I corrected what was submitted last year and made sure that the semesters used in the calculation matched the semesters for the SCH collection.  Also, there was a large growth in high school enrollment due to the opening of so many Early Colleges last year.
</t>
        </r>
      </text>
    </comment>
    <comment ref="B348" authorId="2">
      <text>
        <r>
          <rPr>
            <b/>
            <sz val="10"/>
            <color indexed="81"/>
            <rFont val="Tahoma"/>
            <family val="2"/>
          </rPr>
          <t>jmarks:</t>
        </r>
        <r>
          <rPr>
            <sz val="10"/>
            <color indexed="81"/>
            <rFont val="Tahoma"/>
            <family val="2"/>
          </rPr>
          <t xml:space="preserve">
Met the criteria for Two-Year 1 in 2009-10.</t>
        </r>
      </text>
    </comment>
    <comment ref="B350" authorId="2">
      <text>
        <r>
          <rPr>
            <b/>
            <sz val="10"/>
            <color indexed="81"/>
            <rFont val="Tahoma"/>
            <family val="2"/>
          </rPr>
          <t>jmarks:</t>
        </r>
        <r>
          <rPr>
            <sz val="10"/>
            <color indexed="81"/>
            <rFont val="Tahoma"/>
            <family val="2"/>
          </rPr>
          <t xml:space="preserve">
Met the criteria for Two-Year 1 in 2009-10.</t>
        </r>
      </text>
    </comment>
    <comment ref="B352" authorId="3">
      <text>
        <r>
          <rPr>
            <sz val="10"/>
            <color indexed="81"/>
            <rFont val="Tahoma"/>
            <family val="2"/>
          </rPr>
          <t>Met the criteria for SREB 2 Year 1 in 2008-09 and 2009-10.</t>
        </r>
      </text>
    </comment>
    <comment ref="B357" authorId="3">
      <text>
        <r>
          <rPr>
            <sz val="10"/>
            <color indexed="81"/>
            <rFont val="Tahoma"/>
            <family val="2"/>
          </rPr>
          <t>Met the criteria for SREB 2 Year 1 in 2008-09 and 2009-10.</t>
        </r>
      </text>
    </comment>
    <comment ref="B381" authorId="2">
      <text>
        <r>
          <rPr>
            <sz val="10"/>
            <color indexed="81"/>
            <rFont val="Tahoma"/>
            <family val="2"/>
          </rPr>
          <t>Met the criteria for Two-Year 2 in 2009-10.</t>
        </r>
      </text>
    </comment>
    <comment ref="B384" authorId="2">
      <text>
        <r>
          <rPr>
            <sz val="10"/>
            <color indexed="81"/>
            <rFont val="Tahoma"/>
            <family val="2"/>
          </rPr>
          <t>Met the criteria for Two-Year 2 in 2009-10.</t>
        </r>
      </text>
    </comment>
    <comment ref="B392" authorId="2">
      <text>
        <r>
          <rPr>
            <sz val="10"/>
            <color indexed="81"/>
            <rFont val="Tahoma"/>
            <family val="2"/>
          </rPr>
          <t>Met the criteria for Two-Year 2 in 2009-10.</t>
        </r>
      </text>
    </comment>
    <comment ref="B412" authorId="2">
      <text>
        <r>
          <rPr>
            <sz val="10"/>
            <color indexed="81"/>
            <rFont val="Tahoma"/>
            <family val="2"/>
          </rPr>
          <t>Met the criteria for Two-Year 1 institution in 2009-10.</t>
        </r>
      </text>
    </comment>
    <comment ref="B421" authorId="3">
      <text>
        <r>
          <rPr>
            <sz val="10"/>
            <color indexed="81"/>
            <rFont val="Tahoma"/>
            <family val="2"/>
          </rPr>
          <t>Reclassified: Met criteria for Technical Institute or College 1 in 2007-08, 2008-09 and 2009-10.</t>
        </r>
      </text>
    </comment>
    <comment ref="B423" authorId="2">
      <text>
        <r>
          <rPr>
            <b/>
            <sz val="10"/>
            <color indexed="81"/>
            <rFont val="Tahoma"/>
            <family val="2"/>
          </rPr>
          <t>jmarks:</t>
        </r>
        <r>
          <rPr>
            <sz val="10"/>
            <color indexed="81"/>
            <rFont val="Tahoma"/>
            <family val="2"/>
          </rPr>
          <t xml:space="preserve">
Met criteria for Technical Institute or College 2 in 2009-10.</t>
        </r>
      </text>
    </comment>
    <comment ref="B425" authorId="2">
      <text>
        <r>
          <rPr>
            <b/>
            <sz val="10"/>
            <color indexed="81"/>
            <rFont val="Tahoma"/>
            <family val="2"/>
          </rPr>
          <t>jmarks:</t>
        </r>
        <r>
          <rPr>
            <sz val="10"/>
            <color indexed="81"/>
            <rFont val="Tahoma"/>
            <family val="2"/>
          </rPr>
          <t xml:space="preserve">
Met criteria for Technical Institute or College 2 in 2009-10.</t>
        </r>
      </text>
    </comment>
    <comment ref="B450" authorId="3">
      <text>
        <r>
          <rPr>
            <sz val="10"/>
            <color indexed="81"/>
            <rFont val="Tahoma"/>
            <family val="2"/>
          </rPr>
          <t>Reclassified: Met criteria for Technical Institute or College 2 in 2007-08, 2008-09 and 2009-10.</t>
        </r>
      </text>
    </comment>
    <comment ref="B472" authorId="2">
      <text>
        <r>
          <rPr>
            <b/>
            <sz val="10"/>
            <color indexed="81"/>
            <rFont val="Tahoma"/>
            <family val="2"/>
          </rPr>
          <t>jmarks:</t>
        </r>
        <r>
          <rPr>
            <sz val="10"/>
            <color indexed="81"/>
            <rFont val="Tahoma"/>
            <family val="2"/>
          </rPr>
          <t xml:space="preserve">
New institution.</t>
        </r>
      </text>
    </comment>
    <comment ref="B480" authorId="1">
      <text>
        <r>
          <rPr>
            <sz val="10"/>
            <color indexed="81"/>
            <rFont val="Tahoma"/>
            <family val="2"/>
          </rPr>
          <t>Reclassified: Met the criteria for Four-Year 6 in 2007-08, 2008-09 and 2009-10.</t>
        </r>
      </text>
    </comment>
    <comment ref="B484" authorId="1">
      <text>
        <r>
          <rPr>
            <b/>
            <sz val="8"/>
            <color indexed="81"/>
            <rFont val="Tahoma"/>
            <family val="2"/>
          </rPr>
          <t>Reclassified: Met the criteria for SREB Four-Year 6 institution in 2007-08, 2008-09 and 2009-10.</t>
        </r>
      </text>
    </comment>
    <comment ref="B491" authorId="2">
      <text>
        <r>
          <rPr>
            <b/>
            <sz val="10"/>
            <color indexed="81"/>
            <rFont val="Tahoma"/>
            <family val="2"/>
          </rPr>
          <t>jmarks:</t>
        </r>
        <r>
          <rPr>
            <sz val="10"/>
            <color indexed="81"/>
            <rFont val="Tahoma"/>
            <family val="2"/>
          </rPr>
          <t xml:space="preserve">
Met the criteria for Two-Year 1 in 20009-01.</t>
        </r>
      </text>
    </comment>
    <comment ref="B494" authorId="2">
      <text>
        <r>
          <rPr>
            <b/>
            <sz val="10"/>
            <color indexed="81"/>
            <rFont val="Tahoma"/>
            <family val="2"/>
          </rPr>
          <t>jmarks:</t>
        </r>
        <r>
          <rPr>
            <sz val="10"/>
            <color indexed="81"/>
            <rFont val="Tahoma"/>
            <family val="2"/>
          </rPr>
          <t xml:space="preserve">
Formerly Spartanburg Technical College</t>
        </r>
      </text>
    </comment>
    <comment ref="B495" authorId="2">
      <text>
        <r>
          <rPr>
            <b/>
            <sz val="10"/>
            <color indexed="81"/>
            <rFont val="Tahoma"/>
            <family val="2"/>
          </rPr>
          <t>jmarks:</t>
        </r>
        <r>
          <rPr>
            <sz val="10"/>
            <color indexed="81"/>
            <rFont val="Tahoma"/>
            <family val="2"/>
          </rPr>
          <t xml:space="preserve">
Met the criteria for Two-Year 1 in 20009-01.</t>
        </r>
      </text>
    </comment>
    <comment ref="B505" authorId="3">
      <text>
        <r>
          <rPr>
            <sz val="10"/>
            <color indexed="81"/>
            <rFont val="Tahoma"/>
            <family val="2"/>
          </rPr>
          <t xml:space="preserve">Reclassified: Met the criteria for Four-Year 1 in 2007-08, 2008-09 and 2009-10.
</t>
        </r>
      </text>
    </comment>
    <comment ref="B509" authorId="2">
      <text>
        <r>
          <rPr>
            <b/>
            <sz val="10"/>
            <color indexed="81"/>
            <rFont val="Tahoma"/>
            <family val="2"/>
          </rPr>
          <t>jmarks:</t>
        </r>
        <r>
          <rPr>
            <sz val="10"/>
            <color indexed="81"/>
            <rFont val="Tahoma"/>
            <family val="2"/>
          </rPr>
          <t xml:space="preserve">
Met the criteria for Four-Year 2 in 2009-10.
</t>
        </r>
      </text>
    </comment>
    <comment ref="B510" authorId="3">
      <text>
        <r>
          <rPr>
            <sz val="10"/>
            <color indexed="81"/>
            <rFont val="Tahoma"/>
            <family val="2"/>
          </rPr>
          <t xml:space="preserve">Reclassified: Met the criteria for Four-Year 3 in 2007-08, 2008-09 and 2009-10.
</t>
        </r>
      </text>
    </comment>
    <comment ref="B512" authorId="3">
      <text>
        <r>
          <rPr>
            <sz val="10"/>
            <color indexed="81"/>
            <rFont val="Tahoma"/>
            <family val="2"/>
          </rPr>
          <t xml:space="preserve">Met the criteria for Four-Year 3 in 2008-09 and 2009-10.
</t>
        </r>
      </text>
    </comment>
    <comment ref="B521" authorId="2">
      <text>
        <r>
          <rPr>
            <b/>
            <sz val="10"/>
            <color indexed="81"/>
            <rFont val="Tahoma"/>
            <family val="2"/>
          </rPr>
          <t>jmarks:</t>
        </r>
        <r>
          <rPr>
            <sz val="10"/>
            <color indexed="81"/>
            <rFont val="Tahoma"/>
            <family val="2"/>
          </rPr>
          <t xml:space="preserve">
Met the criteria for Two-year 1 in 2009-10.</t>
        </r>
      </text>
    </comment>
    <comment ref="B524" authorId="2">
      <text>
        <r>
          <rPr>
            <b/>
            <sz val="10"/>
            <color indexed="81"/>
            <rFont val="Tahoma"/>
            <family val="2"/>
          </rPr>
          <t>jmarks:</t>
        </r>
        <r>
          <rPr>
            <sz val="10"/>
            <color indexed="81"/>
            <rFont val="Tahoma"/>
            <family val="2"/>
          </rPr>
          <t xml:space="preserve">
Met the criteria for Two-Year 1 in 2009-10.</t>
        </r>
      </text>
    </comment>
    <comment ref="B526" authorId="2">
      <text>
        <r>
          <rPr>
            <b/>
            <sz val="10"/>
            <color indexed="81"/>
            <rFont val="Tahoma"/>
            <family val="2"/>
          </rPr>
          <t>jmarks:</t>
        </r>
        <r>
          <rPr>
            <sz val="10"/>
            <color indexed="81"/>
            <rFont val="Tahoma"/>
            <family val="2"/>
          </rPr>
          <t xml:space="preserve">
Met the criteria for Two-Year 2 in 2009-10.</t>
        </r>
      </text>
    </comment>
    <comment ref="B563" authorId="3">
      <text>
        <r>
          <rPr>
            <sz val="10"/>
            <color indexed="81"/>
            <rFont val="Tahoma"/>
            <family val="2"/>
          </rPr>
          <t>Reclassified: Met the criteria for Four-Year 2 in 2007-08, 2008-09 and 2009-10.</t>
        </r>
      </text>
    </comment>
    <comment ref="B572" authorId="3">
      <text>
        <r>
          <rPr>
            <sz val="10"/>
            <color indexed="81"/>
            <rFont val="Tahoma"/>
            <family val="2"/>
          </rPr>
          <t xml:space="preserve">Reclassified: Met the criteria for Four-Year 3 in 2007-08, 2008-09 and 2009-10.
</t>
        </r>
      </text>
    </comment>
    <comment ref="B583" authorId="3">
      <text>
        <r>
          <rPr>
            <sz val="10"/>
            <color indexed="81"/>
            <rFont val="Tahoma"/>
            <family val="2"/>
          </rPr>
          <t xml:space="preserve">Reclassified: Met the criteria for Four-Year 4 in 2007-08, 2008-09 and 2009-10.
</t>
        </r>
      </text>
    </comment>
    <comment ref="B584" authorId="3">
      <text>
        <r>
          <rPr>
            <sz val="10"/>
            <color indexed="81"/>
            <rFont val="Tahoma"/>
            <family val="2"/>
          </rPr>
          <t xml:space="preserve">Met the criteria for a Four-Year 3 in 2008-09 and 2009-10.
</t>
        </r>
      </text>
    </comment>
    <comment ref="B585" authorId="2">
      <text>
        <r>
          <rPr>
            <b/>
            <sz val="10"/>
            <color indexed="81"/>
            <rFont val="Tahoma"/>
            <family val="2"/>
          </rPr>
          <t>jmarks:</t>
        </r>
        <r>
          <rPr>
            <sz val="10"/>
            <color indexed="81"/>
            <rFont val="Tahoma"/>
            <family val="2"/>
          </rPr>
          <t xml:space="preserve">
Met the criteria for Four-Year 3 in 2009-10.</t>
        </r>
      </text>
    </comment>
    <comment ref="B589" authorId="1">
      <text>
        <r>
          <rPr>
            <sz val="10"/>
            <color indexed="81"/>
            <rFont val="Tahoma"/>
            <family val="2"/>
          </rPr>
          <t>Reclassified: Met criteria for Two-Year with Bachelor's in 2007-08, 2008-09 and 2009-10.</t>
        </r>
      </text>
    </comment>
    <comment ref="B590" authorId="1">
      <text>
        <r>
          <rPr>
            <sz val="10"/>
            <color indexed="81"/>
            <rFont val="Tahoma"/>
            <family val="2"/>
          </rPr>
          <t>Reclassified: Met criteria for Two-Year with Bachelor's in 2007-08, 2008-09 and 2009-10.</t>
        </r>
      </text>
    </comment>
    <comment ref="B591" authorId="1">
      <text>
        <r>
          <rPr>
            <sz val="10"/>
            <color indexed="81"/>
            <rFont val="Tahoma"/>
            <family val="2"/>
          </rPr>
          <t>Reclassified: Met criteria for Two-Year with Bachelor's in 2007-08, 2008-09 and 2009-10.</t>
        </r>
      </text>
    </comment>
    <comment ref="B603" authorId="4">
      <text>
        <r>
          <rPr>
            <b/>
            <sz val="10"/>
            <color indexed="81"/>
            <rFont val="Tahoma"/>
            <family val="2"/>
          </rPr>
          <t>Alicia A Diaz:</t>
        </r>
        <r>
          <rPr>
            <sz val="10"/>
            <color indexed="81"/>
            <rFont val="Tahoma"/>
            <family val="2"/>
          </rPr>
          <t xml:space="preserve">
Formerly North Harris Montgomery Community College District.</t>
        </r>
      </text>
    </comment>
    <comment ref="A617" authorId="2">
      <text>
        <r>
          <rPr>
            <b/>
            <sz val="8"/>
            <color indexed="81"/>
            <rFont val="Tahoma"/>
            <family val="2"/>
          </rPr>
          <t>jmarks:</t>
        </r>
        <r>
          <rPr>
            <sz val="8"/>
            <color indexed="81"/>
            <rFont val="Tahoma"/>
            <family val="2"/>
          </rPr>
          <t xml:space="preserve">
Texas com. Cols. report 1st semester of a calendar year as winter rather than the more common practice of reporting them as spring so that they can report their summer 1 term in spring and their summer 2 term in summer.</t>
        </r>
      </text>
    </comment>
    <comment ref="B623" authorId="1">
      <text>
        <r>
          <rPr>
            <sz val="10"/>
            <color indexed="81"/>
            <rFont val="Tahoma"/>
            <family val="2"/>
          </rPr>
          <t>Met criteria for Two-Year 1 in 2008-09 and 2009-10.</t>
        </r>
      </text>
    </comment>
    <comment ref="B627" authorId="1">
      <text>
        <r>
          <rPr>
            <sz val="10"/>
            <color indexed="81"/>
            <rFont val="Tahoma"/>
            <family val="2"/>
          </rPr>
          <t>Met criteria for Two-Year 1 in 2009-10.</t>
        </r>
      </text>
    </comment>
    <comment ref="B631" authorId="1">
      <text>
        <r>
          <rPr>
            <sz val="10"/>
            <color indexed="81"/>
            <rFont val="Tahoma"/>
            <family val="2"/>
          </rPr>
          <t>Met criteria for Two-Year 1 in 2008-09 and 2009-10.</t>
        </r>
      </text>
    </comment>
    <comment ref="B638" authorId="1">
      <text>
        <r>
          <rPr>
            <sz val="10"/>
            <color indexed="81"/>
            <rFont val="Tahoma"/>
            <family val="2"/>
          </rPr>
          <t>Met criteria for Two-Year 1 in 2009-10.</t>
        </r>
      </text>
    </comment>
    <comment ref="B639" authorId="1">
      <text>
        <r>
          <rPr>
            <sz val="10"/>
            <color indexed="81"/>
            <rFont val="Tahoma"/>
            <family val="2"/>
          </rPr>
          <t>Met criteria for Two-Year 1 in 2009-10.</t>
        </r>
      </text>
    </comment>
    <comment ref="C649" authorId="3">
      <text>
        <r>
          <rPr>
            <b/>
            <sz val="8"/>
            <color indexed="81"/>
            <rFont val="Tahoma"/>
            <family val="2"/>
          </rPr>
          <t>Alicia A. Diaz:</t>
        </r>
        <r>
          <rPr>
            <sz val="8"/>
            <color indexed="81"/>
            <rFont val="Tahoma"/>
            <family val="2"/>
          </rPr>
          <t xml:space="preserve">
Not assigned until SACS accreditation</t>
        </r>
      </text>
    </comment>
    <comment ref="B650" authorId="1">
      <text>
        <r>
          <rPr>
            <sz val="10"/>
            <color indexed="81"/>
            <rFont val="Tahoma"/>
            <family val="2"/>
          </rPr>
          <t>Met criteria for Two-Year 2 in 2009-10.</t>
        </r>
      </text>
    </comment>
    <comment ref="B657" authorId="2">
      <text>
        <r>
          <rPr>
            <b/>
            <sz val="10"/>
            <color indexed="81"/>
            <rFont val="Tahoma"/>
            <family val="2"/>
          </rPr>
          <t>jmarks:</t>
        </r>
        <r>
          <rPr>
            <sz val="10"/>
            <color indexed="81"/>
            <rFont val="Tahoma"/>
            <family val="2"/>
          </rPr>
          <t xml:space="preserve">
This entry is calculated by SREB to sync with funding data.</t>
        </r>
      </text>
    </comment>
    <comment ref="AI657" authorId="2">
      <text>
        <r>
          <rPr>
            <b/>
            <sz val="10"/>
            <color indexed="81"/>
            <rFont val="Tahoma"/>
            <family val="2"/>
          </rPr>
          <t>jmarks:</t>
        </r>
        <r>
          <rPr>
            <sz val="10"/>
            <color indexed="81"/>
            <rFont val="Tahoma"/>
            <family val="2"/>
          </rPr>
          <t xml:space="preserve">
Note manual deletion of summation formulas to keep the resulting zeros from creating entries in the adjusted hours colums.</t>
        </r>
      </text>
    </comment>
    <comment ref="B658" authorId="2">
      <text>
        <r>
          <rPr>
            <b/>
            <sz val="10"/>
            <color indexed="81"/>
            <rFont val="Tahoma"/>
            <family val="2"/>
          </rPr>
          <t>jmarks:</t>
        </r>
        <r>
          <rPr>
            <sz val="10"/>
            <color indexed="81"/>
            <rFont val="Tahoma"/>
            <family val="2"/>
          </rPr>
          <t xml:space="preserve">
This entry is calculated by SREB to sync with funding data.</t>
        </r>
      </text>
    </comment>
    <comment ref="B659" authorId="2">
      <text>
        <r>
          <rPr>
            <b/>
            <sz val="10"/>
            <color indexed="81"/>
            <rFont val="Tahoma"/>
            <family val="2"/>
          </rPr>
          <t>jmarks:</t>
        </r>
        <r>
          <rPr>
            <sz val="10"/>
            <color indexed="81"/>
            <rFont val="Tahoma"/>
            <family val="2"/>
          </rPr>
          <t xml:space="preserve">
This entry is calculated by SREB to sync with funding data.</t>
        </r>
      </text>
    </comment>
    <comment ref="B660" authorId="2">
      <text>
        <r>
          <rPr>
            <b/>
            <sz val="10"/>
            <color indexed="81"/>
            <rFont val="Tahoma"/>
            <family val="2"/>
          </rPr>
          <t>jmarks:</t>
        </r>
        <r>
          <rPr>
            <sz val="10"/>
            <color indexed="81"/>
            <rFont val="Tahoma"/>
            <family val="2"/>
          </rPr>
          <t xml:space="preserve">
This entry is calculated by SREB to sync with funding data.</t>
        </r>
      </text>
    </comment>
    <comment ref="B661" authorId="2">
      <text>
        <r>
          <rPr>
            <b/>
            <sz val="10"/>
            <color indexed="81"/>
            <rFont val="Tahoma"/>
            <family val="2"/>
          </rPr>
          <t>jmarks:</t>
        </r>
        <r>
          <rPr>
            <sz val="10"/>
            <color indexed="81"/>
            <rFont val="Tahoma"/>
            <family val="2"/>
          </rPr>
          <t xml:space="preserve">
This entry is calculated by SREB to sync with funding data.</t>
        </r>
      </text>
    </comment>
    <comment ref="B662" authorId="2">
      <text>
        <r>
          <rPr>
            <b/>
            <sz val="10"/>
            <color indexed="81"/>
            <rFont val="Tahoma"/>
            <family val="2"/>
          </rPr>
          <t>jmarks:</t>
        </r>
        <r>
          <rPr>
            <sz val="10"/>
            <color indexed="81"/>
            <rFont val="Tahoma"/>
            <family val="2"/>
          </rPr>
          <t xml:space="preserve">
This entry is calculated by SREB to sync with funding data.</t>
        </r>
      </text>
    </comment>
    <comment ref="B663" authorId="2">
      <text>
        <r>
          <rPr>
            <b/>
            <sz val="10"/>
            <color indexed="81"/>
            <rFont val="Tahoma"/>
            <family val="2"/>
          </rPr>
          <t>jmarks:</t>
        </r>
        <r>
          <rPr>
            <sz val="10"/>
            <color indexed="81"/>
            <rFont val="Tahoma"/>
            <family val="2"/>
          </rPr>
          <t xml:space="preserve">
This entry is calculated by SREB to sync with funding data.</t>
        </r>
      </text>
    </comment>
    <comment ref="B664" authorId="2">
      <text>
        <r>
          <rPr>
            <b/>
            <sz val="10"/>
            <color indexed="81"/>
            <rFont val="Tahoma"/>
            <family val="2"/>
          </rPr>
          <t>jmarks:</t>
        </r>
        <r>
          <rPr>
            <sz val="10"/>
            <color indexed="81"/>
            <rFont val="Tahoma"/>
            <family val="2"/>
          </rPr>
          <t xml:space="preserve">
This entry is calculated by SREB to sync with funding data.</t>
        </r>
      </text>
    </comment>
    <comment ref="B665" authorId="2">
      <text>
        <r>
          <rPr>
            <b/>
            <sz val="10"/>
            <color indexed="81"/>
            <rFont val="Tahoma"/>
            <family val="2"/>
          </rPr>
          <t>jmarks:</t>
        </r>
        <r>
          <rPr>
            <sz val="10"/>
            <color indexed="81"/>
            <rFont val="Tahoma"/>
            <family val="2"/>
          </rPr>
          <t xml:space="preserve">
This entry is calculated by SREB to sync with funding data.</t>
        </r>
      </text>
    </comment>
    <comment ref="B666" authorId="2">
      <text>
        <r>
          <rPr>
            <b/>
            <sz val="10"/>
            <color indexed="81"/>
            <rFont val="Tahoma"/>
            <family val="2"/>
          </rPr>
          <t>jmarks:</t>
        </r>
        <r>
          <rPr>
            <sz val="10"/>
            <color indexed="81"/>
            <rFont val="Tahoma"/>
            <family val="2"/>
          </rPr>
          <t xml:space="preserve">
New fall 2009.</t>
        </r>
      </text>
    </comment>
    <comment ref="N666" authorId="4">
      <text>
        <r>
          <rPr>
            <b/>
            <sz val="9"/>
            <color indexed="81"/>
            <rFont val="Tahoma"/>
            <family val="2"/>
          </rPr>
          <t>Alicia A Diaz:</t>
        </r>
        <r>
          <rPr>
            <sz val="9"/>
            <color indexed="81"/>
            <rFont val="Tahoma"/>
            <family val="2"/>
          </rPr>
          <t xml:space="preserve">
new in Fall 2009</t>
        </r>
      </text>
    </comment>
    <comment ref="B667" authorId="2">
      <text>
        <r>
          <rPr>
            <b/>
            <sz val="10"/>
            <color indexed="81"/>
            <rFont val="Tahoma"/>
            <family val="2"/>
          </rPr>
          <t>jmarks:</t>
        </r>
        <r>
          <rPr>
            <sz val="10"/>
            <color indexed="81"/>
            <rFont val="Tahoma"/>
            <family val="2"/>
          </rPr>
          <t xml:space="preserve">
New fall 2009.</t>
        </r>
      </text>
    </comment>
    <comment ref="N667" authorId="4">
      <text>
        <r>
          <rPr>
            <b/>
            <sz val="9"/>
            <color indexed="81"/>
            <rFont val="Tahoma"/>
            <family val="2"/>
          </rPr>
          <t>Alicia A Diaz:</t>
        </r>
        <r>
          <rPr>
            <sz val="9"/>
            <color indexed="81"/>
            <rFont val="Tahoma"/>
            <family val="2"/>
          </rPr>
          <t xml:space="preserve">
new in Fall 2009</t>
        </r>
      </text>
    </comment>
    <comment ref="B668" authorId="2">
      <text>
        <r>
          <rPr>
            <b/>
            <sz val="10"/>
            <color indexed="81"/>
            <rFont val="Tahoma"/>
            <family val="2"/>
          </rPr>
          <t>jmarks:</t>
        </r>
        <r>
          <rPr>
            <sz val="10"/>
            <color indexed="81"/>
            <rFont val="Tahoma"/>
            <family val="2"/>
          </rPr>
          <t xml:space="preserve">
New fall 2009.</t>
        </r>
      </text>
    </comment>
    <comment ref="N668" authorId="4">
      <text>
        <r>
          <rPr>
            <b/>
            <sz val="9"/>
            <color indexed="81"/>
            <rFont val="Tahoma"/>
            <family val="2"/>
          </rPr>
          <t>Alicia A Diaz:</t>
        </r>
        <r>
          <rPr>
            <sz val="9"/>
            <color indexed="81"/>
            <rFont val="Tahoma"/>
            <family val="2"/>
          </rPr>
          <t xml:space="preserve">
new in Fall 2009</t>
        </r>
      </text>
    </comment>
    <comment ref="B670" authorId="1">
      <text>
        <r>
          <rPr>
            <sz val="8"/>
            <color indexed="81"/>
            <rFont val="Tahoma"/>
            <family val="2"/>
          </rPr>
          <t>Reclassified, met criteria for classification as a SREB Four-Year 1 in 2007-08, 2008-09 and 2009-10.</t>
        </r>
      </text>
    </comment>
    <comment ref="B674" authorId="2">
      <text>
        <r>
          <rPr>
            <b/>
            <sz val="10"/>
            <color indexed="81"/>
            <rFont val="Tahoma"/>
            <family val="2"/>
          </rPr>
          <t>jmarks:</t>
        </r>
        <r>
          <rPr>
            <sz val="10"/>
            <color indexed="81"/>
            <rFont val="Tahoma"/>
            <family val="2"/>
          </rPr>
          <t xml:space="preserve">
Met criteria for classification as a SREB Four-Year 1 in 2009-10.</t>
        </r>
      </text>
    </comment>
    <comment ref="B676" authorId="1">
      <text>
        <r>
          <rPr>
            <sz val="8"/>
            <color indexed="81"/>
            <rFont val="Tahoma"/>
            <family val="2"/>
          </rPr>
          <t>Reclassified, met criteria for classification as a SREB Four-Year 3 in 2007-08, 2008-09 and 2009-10.</t>
        </r>
      </text>
    </comment>
    <comment ref="B677" authorId="1">
      <text>
        <r>
          <rPr>
            <b/>
            <sz val="8"/>
            <color indexed="81"/>
            <rFont val="Tahoma"/>
            <family val="2"/>
          </rPr>
          <t>Reclassified, met criteria for classification as a SREB Four-Year 4 in 2007-08, 2008-09 and 2009-10.</t>
        </r>
      </text>
    </comment>
    <comment ref="B679" authorId="1">
      <text>
        <r>
          <rPr>
            <b/>
            <sz val="8"/>
            <color indexed="81"/>
            <rFont val="Tahoma"/>
            <family val="2"/>
          </rPr>
          <t>Reclassified, met criteria for classification as a SREB Four-Year 5 in 2007-08, 2008-09 and 2009-10.</t>
        </r>
      </text>
    </comment>
    <comment ref="B680" authorId="1">
      <text>
        <r>
          <rPr>
            <b/>
            <sz val="8"/>
            <color indexed="81"/>
            <rFont val="Tahoma"/>
            <family val="2"/>
          </rPr>
          <t>Met criteria for classification as a SREB Four-Year 4 in 2008-09 and 2009-10.</t>
        </r>
      </text>
    </comment>
    <comment ref="B698" authorId="2">
      <text>
        <r>
          <rPr>
            <b/>
            <sz val="10"/>
            <color indexed="81"/>
            <rFont val="Tahoma"/>
            <family val="2"/>
          </rPr>
          <t>jmarks:</t>
        </r>
        <r>
          <rPr>
            <sz val="10"/>
            <color indexed="81"/>
            <rFont val="Tahoma"/>
            <family val="2"/>
          </rPr>
          <t xml:space="preserve">
Met the criteria for Two-Year 2 in 2009-10.</t>
        </r>
      </text>
    </comment>
    <comment ref="B701" authorId="2">
      <text>
        <r>
          <rPr>
            <b/>
            <sz val="10"/>
            <color indexed="81"/>
            <rFont val="Tahoma"/>
            <family val="2"/>
          </rPr>
          <t>jmarks:</t>
        </r>
        <r>
          <rPr>
            <sz val="10"/>
            <color indexed="81"/>
            <rFont val="Tahoma"/>
            <family val="2"/>
          </rPr>
          <t xml:space="preserve">
Met the criteria for Two-Year 2 in 2009-10.</t>
        </r>
      </text>
    </comment>
    <comment ref="B706" authorId="2">
      <text>
        <r>
          <rPr>
            <b/>
            <sz val="10"/>
            <color indexed="81"/>
            <rFont val="Tahoma"/>
            <family val="2"/>
          </rPr>
          <t>jmarks:</t>
        </r>
        <r>
          <rPr>
            <sz val="10"/>
            <color indexed="81"/>
            <rFont val="Tahoma"/>
            <family val="2"/>
          </rPr>
          <t xml:space="preserve">
Met the criteria for Two-Year 2 in 2009-10.</t>
        </r>
      </text>
    </comment>
    <comment ref="B708" authorId="2">
      <text>
        <r>
          <rPr>
            <b/>
            <sz val="10"/>
            <color indexed="81"/>
            <rFont val="Tahoma"/>
            <family val="2"/>
          </rPr>
          <t>jmarks:</t>
        </r>
        <r>
          <rPr>
            <sz val="10"/>
            <color indexed="81"/>
            <rFont val="Tahoma"/>
            <family val="2"/>
          </rPr>
          <t xml:space="preserve">
This entry is calculated by SREB to sync with funding data.</t>
        </r>
      </text>
    </comment>
    <comment ref="B709" authorId="2">
      <text>
        <r>
          <rPr>
            <b/>
            <sz val="10"/>
            <color indexed="81"/>
            <rFont val="Tahoma"/>
            <family val="2"/>
          </rPr>
          <t>jmarks:</t>
        </r>
        <r>
          <rPr>
            <sz val="10"/>
            <color indexed="81"/>
            <rFont val="Tahoma"/>
            <family val="2"/>
          </rPr>
          <t xml:space="preserve">
This entry is calculated by SREB to sync with funding data.</t>
        </r>
      </text>
    </comment>
    <comment ref="B712" authorId="1">
      <text>
        <r>
          <rPr>
            <sz val="10"/>
            <color indexed="81"/>
            <rFont val="Tahoma"/>
            <family val="2"/>
          </rPr>
          <t>Reclassified: Met the criteria for Four-Year 5 in 2007-08, 2008-09 and 2009-10</t>
        </r>
      </text>
    </comment>
    <comment ref="S712" authorId="5">
      <text>
        <r>
          <rPr>
            <b/>
            <sz val="8"/>
            <color indexed="81"/>
            <rFont val="Tahoma"/>
            <family val="2"/>
          </rPr>
          <t>Jeannie Reed:</t>
        </r>
        <r>
          <rPr>
            <sz val="8"/>
            <color indexed="81"/>
            <rFont val="Tahoma"/>
            <family val="2"/>
          </rPr>
          <t xml:space="preserve">
Handled by Pierpont CTC.</t>
        </r>
      </text>
    </comment>
    <comment ref="B716" authorId="1">
      <text>
        <r>
          <rPr>
            <sz val="10"/>
            <color indexed="81"/>
            <rFont val="Tahoma"/>
            <family val="2"/>
          </rPr>
          <t>Met the criteria for Four-Year 5 in 2008-09 and 2009-10.</t>
        </r>
      </text>
    </comment>
    <comment ref="B720" authorId="3">
      <text>
        <r>
          <rPr>
            <sz val="10"/>
            <color indexed="81"/>
            <rFont val="Tahoma"/>
            <family val="2"/>
          </rPr>
          <t>Reclassified: Met criteria for Two-Year with Bachelor's in 2007-08, 2008-09 and 2009-10.</t>
        </r>
      </text>
    </comment>
    <comment ref="B725" authorId="5">
      <text>
        <r>
          <rPr>
            <sz val="10"/>
            <color indexed="81"/>
            <rFont val="Tahoma"/>
            <family val="2"/>
          </rPr>
          <t>Formerly West Virginia State Community &amp; Technical College.</t>
        </r>
      </text>
    </comment>
    <comment ref="B728" authorId="3">
      <text>
        <r>
          <rPr>
            <sz val="10"/>
            <color indexed="81"/>
            <rFont val="Tahoma"/>
            <family val="2"/>
          </rPr>
          <t>Reclassified: Met criteria for Two-Year 3 in 2007-08, 2008-09 and 2009-10.</t>
        </r>
      </text>
    </comment>
    <comment ref="B730" authorId="2">
      <text>
        <r>
          <rPr>
            <sz val="10"/>
            <color indexed="81"/>
            <rFont val="Tahoma"/>
            <family val="2"/>
          </rPr>
          <t>Met the critieria for Two-Year 2 in 2009-10.</t>
        </r>
      </text>
    </comment>
  </commentList>
</comments>
</file>

<file path=xl/connections.xml><?xml version="1.0" encoding="utf-8"?>
<connections xmlns="http://schemas.openxmlformats.org/spreadsheetml/2006/main">
  <connection id="1" name="Dual07" type="6" refreshedVersion="3" deleted="1" background="1" saveData="1">
    <textPr codePage="437" sourceFile="\\CBNA42\UserDoc$\meaddd\My Documents\My SAS Files\SREB\QWK03256\Dual07.txt">
      <textFields>
        <textField/>
      </textFields>
    </textPr>
  </connection>
  <connection id="2" name="Dual08" type="6" refreshedVersion="3" deleted="1" background="1" saveData="1">
    <textPr codePage="437" sourceFile="\\CBNA42\UserDoc$\meaddd\My Documents\My SAS Files\SREB\QWK03256\Dual08.txt">
      <textFields>
        <textField/>
      </textFields>
    </textPr>
  </connection>
  <connection id="3" name="JrCH08ug1" type="6" refreshedVersion="3" deleted="1" background="1" saveData="1">
    <textPr codePage="437" sourceFile="\\CBNA42\UserDoc$\meaddd\My Documents\My SAS Files\SREB\QWK03256\JrCH08ug1.txt">
      <textFields>
        <textField/>
      </textFields>
    </textPr>
  </connection>
  <connection id="4" name="JrCH08ug2" type="6" refreshedVersion="3" deleted="1" background="1" saveData="1">
    <textPr codePage="437" sourceFile="\\CBNA42\UserDoc$\meaddd\My Documents\My SAS Files\SREB\QWK03256\JrCH08ug2.txt">
      <textFields>
        <textField/>
      </textFields>
    </textPr>
  </connection>
  <connection id="5" name="JrCH08ug3" type="6" refreshedVersion="3" deleted="1" background="1" saveData="1">
    <textPr codePage="437" sourceFile="\\CBNA42\UserDoc$\meaddd\My Documents\My SAS Files\SREB\QWK03256\JrCH08ug3.txt">
      <textFields>
        <textField/>
      </textFields>
    </textPr>
  </connection>
  <connection id="6" name="JrCH08ug4" type="6" refreshedVersion="3" deleted="1" background="1" saveData="1">
    <textPr codePage="437" sourceFile="\\CBNA42\UserDoc$\meaddd\My Documents\My SAS Files\SREB\QWK03256\JrCH08ug4.txt">
      <textFields>
        <textField/>
      </textFields>
    </textPr>
  </connection>
  <connection id="7" name="JrSCH08ug1" type="6" refreshedVersion="3" deleted="1" background="1" saveData="1">
    <textPr codePage="437" sourceFile="\\CBNA42\UserDoc$\meaddd\My Documents\My SAS Files\SREB\QWK03256\JrSCH08ug1.txt">
      <textFields>
        <textField/>
      </textFields>
    </textPr>
  </connection>
  <connection id="8" name="JrSCH08ug2" type="6" refreshedVersion="3" deleted="1" background="1" saveData="1">
    <textPr codePage="437" sourceFile="\\CBNA42\UserDoc$\meaddd\My Documents\My SAS Files\SREB\QWK03256\JrSCH08ug2.txt">
      <textFields>
        <textField/>
      </textFields>
    </textPr>
  </connection>
  <connection id="9" name="JrSCH08ug3" type="6" refreshedVersion="3" deleted="1" background="1" saveData="1">
    <textPr codePage="437" sourceFile="\\CBNA42\UserDoc$\meaddd\My Documents\My SAS Files\SREB\QWK03256\JrSCH08ug3.txt">
      <textFields>
        <textField/>
      </textFields>
    </textPr>
  </connection>
  <connection id="10" name="JrSCH08ug4" type="6" refreshedVersion="3" deleted="1" background="1" saveData="1">
    <textPr codePage="437" sourceFile="\\CBNA42\UserDoc$\meaddd\My Documents\My SAS Files\SREB\QWK03256\JrSCH08ug4.txt">
      <textFields>
        <textField/>
      </textFields>
    </textPr>
  </connection>
  <connection id="11" name="SrSCH08gr2" type="6" refreshedVersion="3" deleted="1" background="1" saveData="1">
    <textPr codePage="437" sourceFile="\\CBNA42\UserDoc$\meaddd\My Documents\My SAS Files\SREB\QWK03256\SrSCH08gr2.txt">
      <textFields>
        <textField/>
      </textFields>
    </textPr>
  </connection>
  <connection id="12" name="SrSCH08gr3" type="6" refreshedVersion="3" deleted="1" background="1" saveData="1">
    <textPr codePage="437" sourceFile="\\CBNA42\UserDoc$\meaddd\My Documents\My SAS Files\SREB\QWK03256\SrSCH08gr3.txt">
      <textFields>
        <textField/>
      </textFields>
    </textPr>
  </connection>
  <connection id="13" name="SrSCH08gr4" type="6" refreshedVersion="3" deleted="1" background="1" saveData="1">
    <textPr codePage="437" sourceFile="\\CBNA42\UserDoc$\meaddd\My Documents\My SAS Files\SREB\QWK03256\SrSCH08gr4.txt">
      <textFields>
        <textField/>
      </textFields>
    </textPr>
  </connection>
  <connection id="14" name="SrSCH08ug2" type="6" refreshedVersion="3" deleted="1" background="1" saveData="1">
    <textPr codePage="437" sourceFile="\\CBNA42\UserDoc$\meaddd\My Documents\My SAS Files\SREB\QWK03256\SrSCH08ug2.txt">
      <textFields>
        <textField/>
      </textFields>
    </textPr>
  </connection>
  <connection id="15" name="SrSCH08ug3" type="6" refreshedVersion="3" deleted="1" background="1" saveData="1">
    <textPr codePage="437" sourceFile="\\CBNA42\UserDoc$\meaddd\My Documents\My SAS Files\SREB\QWK03256\SrSCH08ug3.txt">
      <textFields>
        <textField/>
      </textFields>
    </textPr>
  </connection>
  <connection id="16" name="SrSCH08ug4" type="6" refreshedVersion="3" deleted="1" background="1" saveData="1">
    <textPr codePage="437" sourceFile="\\CBNA42\UserDoc$\meaddd\My Documents\My SAS Files\SREB\QWK03256\SrSCH08ug4.txt">
      <textFields>
        <textField/>
      </textFields>
    </textPr>
  </connection>
</connections>
</file>

<file path=xl/sharedStrings.xml><?xml version="1.0" encoding="utf-8"?>
<sst xmlns="http://schemas.openxmlformats.org/spreadsheetml/2006/main" count="4190" uniqueCount="983">
  <si>
    <t>Louisiana Technical College-Acadian Campus</t>
  </si>
  <si>
    <t>Louisiana Technical College-Ascension Campus</t>
  </si>
  <si>
    <t>Louisiana Technical College-Avoyelles Campus</t>
  </si>
  <si>
    <t>Louisiana Technical College-Bastrop Campus</t>
  </si>
  <si>
    <t>Louisiana Technical College-Baton Rouge Campus</t>
  </si>
  <si>
    <t>Louisiana Technical College-Charles B. Coreil Campus</t>
  </si>
  <si>
    <t>Louisiana Technical College-Delta/Ouachita Campus</t>
  </si>
  <si>
    <t>Louisiana Technical College-Evangeline Campus</t>
  </si>
  <si>
    <t>Louisiana Technical College-Florida Parishes Campus</t>
  </si>
  <si>
    <t>Louisiana Technical College-Folkes Campus</t>
  </si>
  <si>
    <t>All Two Year</t>
  </si>
  <si>
    <t>All Technical</t>
  </si>
  <si>
    <t>Louisiana Technical College-Gulf Area Campus</t>
  </si>
  <si>
    <t>Louisiana Technical College-Hammond Area Campus</t>
  </si>
  <si>
    <t>Louisiana Technical College-Huey P. Long Campus</t>
  </si>
  <si>
    <t>Louisiana Technical College-Jefferson Campus</t>
  </si>
  <si>
    <t>Louisiana Technical College-Jumonville Memorial Campus</t>
  </si>
  <si>
    <t>Louisiana Technical College-Lafayette Campus</t>
  </si>
  <si>
    <t>Louisiana Technical College-Lafourche Campus</t>
  </si>
  <si>
    <t>Louisiana Technical College-Lamar Salter Campus</t>
  </si>
  <si>
    <t>Louisiana Technical College-Mansfield Campus</t>
  </si>
  <si>
    <t>Louisiana Technical College-Morgan Smith Campus</t>
  </si>
  <si>
    <t>Louisiana Technical College-Nachitoches Campus</t>
  </si>
  <si>
    <t>Louisiana Technical College-North Central Campus</t>
  </si>
  <si>
    <t>Louisiana Technical College-Northeast Louisiana Campus</t>
  </si>
  <si>
    <t>Louisiana Technical College-Northwest Louisiana Campus</t>
  </si>
  <si>
    <t>Louisiana Technical College-Oakdale Campus</t>
  </si>
  <si>
    <t>Louisiana Technical College-River Parishes Campus</t>
  </si>
  <si>
    <t>Louisiana Technical College-Ruston Campus</t>
  </si>
  <si>
    <t>Louisiana Technical College-Sabine Valley Campus</t>
  </si>
  <si>
    <t>Old Percent by H.S. Students</t>
  </si>
  <si>
    <t>All Four Year</t>
  </si>
  <si>
    <t>Points change</t>
  </si>
  <si>
    <t>Louisiana Technical College-Shelby M. Jackson Campus</t>
  </si>
  <si>
    <t>Louisiana Technical College-Shreveport/Bossier Campus</t>
  </si>
  <si>
    <t>Louisiana Technical College-Sidney N. Collier Campus</t>
  </si>
  <si>
    <t>Louisiana Technical College-Slidell Campus</t>
  </si>
  <si>
    <t>Louisiana Technical College-Sullivan Campus</t>
  </si>
  <si>
    <t>Louisiana Technical College-T.H. Harris Campus</t>
  </si>
  <si>
    <t>Louisiana Technical College-Tallulah Campus</t>
  </si>
  <si>
    <t>Louisiana Technical College-Teche Area Campus</t>
  </si>
  <si>
    <t>Louisiana Technical College-West Jefferson Campus</t>
  </si>
  <si>
    <t>Louisiana Technical College-Westside Campus</t>
  </si>
  <si>
    <t>"9" minus "9b"</t>
  </si>
  <si>
    <t>10 minus 10b</t>
  </si>
  <si>
    <t>#Change from prior year</t>
  </si>
  <si>
    <t>Louisiana Technical College-Young Memorial Campus</t>
  </si>
  <si>
    <t>Louisiana Technical College-all campuses</t>
  </si>
  <si>
    <t>DE</t>
  </si>
  <si>
    <t>Grand Total FTE - Old</t>
  </si>
  <si>
    <t>Total Grand Total FTE - Old</t>
  </si>
  <si>
    <t>University of Delaware</t>
  </si>
  <si>
    <t>Delaware State University</t>
  </si>
  <si>
    <t>Delaware Technical and Community College--Owens</t>
  </si>
  <si>
    <t>Delaware Technical and Community College--Stanton-Wilmington</t>
  </si>
  <si>
    <t>Delaware Technical and Community College--Terry</t>
  </si>
  <si>
    <t>West Liberty University</t>
  </si>
  <si>
    <t xml:space="preserve">Edison State College </t>
  </si>
  <si>
    <t>Sum of Old-Total UGH</t>
  </si>
  <si>
    <t>Sum of New-Total UGH</t>
  </si>
  <si>
    <t>Total Sum of Old-Total UGH</t>
  </si>
  <si>
    <t>Total Sum of New-Total UGH</t>
  </si>
  <si>
    <t>Sum of Old-Total HSH</t>
  </si>
  <si>
    <t>Sum of New-Total HSH</t>
  </si>
  <si>
    <t>Sum of Old-HS % of Total</t>
  </si>
  <si>
    <t>10b Total</t>
  </si>
  <si>
    <t>11b Total</t>
  </si>
  <si>
    <t>Sum of New-HS % of Total</t>
  </si>
  <si>
    <t>Total Sum of Old-Total HSH</t>
  </si>
  <si>
    <t>Total Sum of New-Total HSH</t>
  </si>
  <si>
    <t>Total Sum of Old-HS % of Total</t>
  </si>
  <si>
    <t>Total Sum of New-HS % of Total</t>
  </si>
  <si>
    <t>Percent by Students Still in High School</t>
  </si>
  <si>
    <t>Four-Year Total</t>
  </si>
  <si>
    <t>Two-Year Total</t>
  </si>
  <si>
    <t>Technical Total</t>
  </si>
  <si>
    <t>15 Total</t>
  </si>
  <si>
    <t>Northwest Florida State College</t>
  </si>
  <si>
    <t>North Carolina A&amp;T State University</t>
  </si>
  <si>
    <t>Notes: Full-year full-time-equivalent (FTE) undergraduate enrollment for 2008-09 is estimated by taking the credit hours from calendar year 2008 (i.e. winter, spring, summer and fall terms of 2008) and by dividing total undergraduate semester credit hours by 30 and total undergraduate quarter hours by 45.</t>
  </si>
  <si>
    <t xml:space="preserve">Notes:  Full-year full-time-equivalent (FTE) undergraduate enrollment for 2008-09 is estimated by taking the credit hours from calendar year 2008 (i.e. winter, spring, summer and fall terms of 2008) and by dividing total undergraduate semester credit hours by 30; total undergraduate quarter hours by 45; total undergraduate contact hours by 900 (the equivalent of a 30 hour week); total graduate semester credit hours by 24; and total graduate quarter hours by 36. </t>
  </si>
  <si>
    <t>University of South Carolina-Sumter</t>
  </si>
  <si>
    <t>University of South Carolina-Union</t>
  </si>
  <si>
    <t xml:space="preserve">Willamsburg Technical College </t>
  </si>
  <si>
    <t>AL</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</si>
  <si>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</si>
  <si>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</si>
  <si>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</si>
  <si>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</si>
  <si>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</si>
  <si>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</si>
  <si>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</si>
  <si>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</si>
  <si>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</si>
  <si>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</si>
  <si>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</si>
  <si>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</si>
  <si>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</si>
  <si>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</si>
  <si>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</si>
  <si>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</si>
  <si>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</si>
  <si>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Gadsden State Community College</t>
  </si>
  <si>
    <t>George C. Wallace State Community College - Dothan</t>
  </si>
  <si>
    <t>James H. Faulkner State Community College</t>
  </si>
  <si>
    <t xml:space="preserve">Lawson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</si>
  <si>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</si>
  <si>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</si>
  <si>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</si>
  <si>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</si>
  <si>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</si>
  <si>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</si>
  <si>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</si>
  <si>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Enterprise-Ozark Community College</t>
  </si>
  <si>
    <t>George Corley Wallace State Community College - Selma</t>
  </si>
  <si>
    <t>Jefferson Davis Community College</t>
  </si>
  <si>
    <t xml:space="preserve">Lurleen B. Wallace Community College </t>
  </si>
  <si>
    <t xml:space="preserve">Northeast Alabama State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</si>
  <si>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</si>
  <si>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</si>
  <si>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</si>
  <si>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</si>
  <si>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</si>
  <si>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 xml:space="preserve">Brevard Community College </t>
  </si>
  <si>
    <t xml:space="preserve">Broward Community College </t>
  </si>
  <si>
    <t xml:space="preserve">Central Florida Community College </t>
  </si>
  <si>
    <t xml:space="preserve">Chipola College </t>
  </si>
  <si>
    <t xml:space="preserve">Daytona Beach Community College </t>
  </si>
  <si>
    <t>Florida Community College at Jacksonville</t>
  </si>
  <si>
    <t xml:space="preserve">Florida Keys Community College </t>
  </si>
  <si>
    <t xml:space="preserve">Gulf Coast Community College </t>
  </si>
  <si>
    <t xml:space="preserve">Hillsborough Community College </t>
  </si>
  <si>
    <t xml:space="preserve">Indian River Community College </t>
  </si>
  <si>
    <t xml:space="preserve">Lake City Community College </t>
  </si>
  <si>
    <t xml:space="preserve">Lake-Sumter Community College </t>
  </si>
  <si>
    <t xml:space="preserve">Miami Dade College </t>
  </si>
  <si>
    <t xml:space="preserve">North Florida Community College </t>
  </si>
  <si>
    <t xml:space="preserve">Palm Beach Community College </t>
  </si>
  <si>
    <t xml:space="preserve">Pasco-Hernando Community College </t>
  </si>
  <si>
    <t xml:space="preserve">Pensacola Junior College </t>
  </si>
  <si>
    <t xml:space="preserve">Polk Community College </t>
  </si>
  <si>
    <t xml:space="preserve">St. Johns River Community College </t>
  </si>
  <si>
    <t xml:space="preserve">St. Petersburg College </t>
  </si>
  <si>
    <t xml:space="preserve">Santa Fe Community College </t>
  </si>
  <si>
    <t xml:space="preserve">Seminole Community College </t>
  </si>
  <si>
    <t xml:space="preserve">South Florida Community College </t>
  </si>
  <si>
    <t xml:space="preserve">Tallahassee Community College </t>
  </si>
  <si>
    <t xml:space="preserve">Valencia Community College </t>
  </si>
  <si>
    <t>KY</t>
  </si>
  <si>
    <t>University of Kentucky</t>
  </si>
  <si>
    <t>University of Louisville</t>
  </si>
  <si>
    <t xml:space="preserve">Eastern Kentucky University </t>
  </si>
  <si>
    <t xml:space="preserve">Murray State University </t>
  </si>
  <si>
    <t xml:space="preserve">Western Kentucky University </t>
  </si>
  <si>
    <t xml:space="preserve">Morehead State University </t>
  </si>
  <si>
    <t xml:space="preserve">Northern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</si>
  <si>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</si>
  <si>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</si>
  <si>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</si>
  <si>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</si>
  <si>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</si>
  <si>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</si>
  <si>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</si>
  <si>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Madisonville Community College</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</si>
  <si>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</si>
  <si>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</si>
  <si>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</si>
  <si>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</si>
  <si>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</si>
  <si>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 xml:space="preserve">Hopkinsville Community College </t>
  </si>
  <si>
    <t xml:space="preserve">Maysville Community and Technical College </t>
  </si>
  <si>
    <t>Gateway Community and Technical College</t>
  </si>
  <si>
    <t>Bowling Green Technical College</t>
  </si>
  <si>
    <t>MD</t>
  </si>
  <si>
    <t>University of Maryland College Park</t>
  </si>
  <si>
    <t>University of Maryland, Baltimore County</t>
  </si>
  <si>
    <t xml:space="preserve">Towson University </t>
  </si>
  <si>
    <t xml:space="preserve">Bowie State University </t>
  </si>
  <si>
    <t xml:space="preserve">Frostburg State University </t>
  </si>
  <si>
    <t>Morgan State University</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</si>
  <si>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</si>
  <si>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</si>
  <si>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</si>
  <si>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</si>
  <si>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</si>
  <si>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</si>
  <si>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Community College of Baltimore County (all campuses)</t>
  </si>
  <si>
    <t xml:space="preserve">Prince George's Community College </t>
  </si>
  <si>
    <t>Baltimore City Community College</t>
  </si>
  <si>
    <t>College of Southern Maryland</t>
  </si>
  <si>
    <t xml:space="preserve">Frederick Community College </t>
  </si>
  <si>
    <t xml:space="preserve">Harford Community College </t>
  </si>
  <si>
    <t xml:space="preserve">Howard Community College </t>
  </si>
  <si>
    <t>Allegany College of Maryland</t>
  </si>
  <si>
    <t>Carroll Community College</t>
  </si>
  <si>
    <t xml:space="preserve">Cecil Community College </t>
  </si>
  <si>
    <t xml:space="preserve">Chesapeake College </t>
  </si>
  <si>
    <t xml:space="preserve">Garrett College </t>
  </si>
  <si>
    <t xml:space="preserve">Hagerstown Community College </t>
  </si>
  <si>
    <t xml:space="preserve">Wor-Wic Community College </t>
  </si>
  <si>
    <t>Oklahoma State University Main Campus</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</si>
  <si>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</si>
  <si>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</si>
  <si>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</si>
  <si>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</si>
  <si>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</si>
  <si>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</si>
  <si>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</si>
  <si>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</si>
  <si>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</si>
  <si>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</si>
  <si>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University of Science and Arts of Oklahoma</t>
  </si>
  <si>
    <t>Rogers State University</t>
  </si>
  <si>
    <t xml:space="preserve">Oklahoma City Community College </t>
  </si>
  <si>
    <t xml:space="preserve">Tulsa Community College </t>
  </si>
  <si>
    <t xml:space="preserve">Northern Oklahoma College </t>
  </si>
  <si>
    <t xml:space="preserve">Oklahoma State University Technical Branch-Okmulgee </t>
  </si>
  <si>
    <t xml:space="preserve">Oklahoma State University-Oklahoma City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</si>
  <si>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</si>
  <si>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</si>
  <si>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</si>
  <si>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</si>
  <si>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</si>
  <si>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</si>
  <si>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</si>
  <si>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</si>
  <si>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</si>
  <si>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TN</t>
  </si>
  <si>
    <t>University of Tennessee, Knoxville</t>
  </si>
  <si>
    <t>University of Memphis</t>
  </si>
  <si>
    <t xml:space="preserve">East Tennessee State University </t>
  </si>
  <si>
    <t xml:space="preserve">Middle Tennessee State University </t>
  </si>
  <si>
    <t xml:space="preserve">Tennessee State University </t>
  </si>
  <si>
    <t>University of Tennessee at Chattanooga</t>
  </si>
  <si>
    <t xml:space="preserve">Austin Peay State University </t>
  </si>
  <si>
    <t xml:space="preserve">Tennessee Technological University </t>
  </si>
  <si>
    <t>University of Tennessee at Martin</t>
  </si>
  <si>
    <t xml:space="preserve">Chattanooga State Technical Community College </t>
  </si>
  <si>
    <t>Pellissippi State Technical Community College</t>
  </si>
  <si>
    <t>Southwest Tennessee Community College</t>
  </si>
  <si>
    <t xml:space="preserve">Cleveland State Community College </t>
  </si>
  <si>
    <t xml:space="preserve">Columbia State Community College </t>
  </si>
  <si>
    <t xml:space="preserve">Jackson State Community College </t>
  </si>
  <si>
    <t xml:space="preserve">Motlow State Community College </t>
  </si>
  <si>
    <t>Nashville State Technical Community College</t>
  </si>
  <si>
    <t>Northeast State Technical Community College</t>
  </si>
  <si>
    <t xml:space="preserve">Roane State Community College </t>
  </si>
  <si>
    <t xml:space="preserve">Volunteer State Community College </t>
  </si>
  <si>
    <t xml:space="preserve">Walters State Community College </t>
  </si>
  <si>
    <t xml:space="preserve">Dyersburg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</si>
  <si>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</si>
  <si>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</si>
  <si>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</si>
  <si>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</si>
  <si>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</si>
  <si>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</si>
  <si>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</si>
  <si>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</si>
  <si>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</si>
  <si>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</si>
  <si>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University of Arkansas at Fort Smith</t>
  </si>
  <si>
    <t>Texas A&amp;M International University</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</si>
  <si>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</si>
  <si>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</si>
  <si>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</si>
  <si>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</si>
  <si>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</si>
  <si>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</si>
  <si>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</si>
  <si>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</si>
  <si>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Murfreesboro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</si>
  <si>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</si>
  <si>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</si>
  <si>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</si>
  <si>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</si>
  <si>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</si>
  <si>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</si>
  <si>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</si>
  <si>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</si>
  <si>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TX</t>
  </si>
  <si>
    <t xml:space="preserve">Texas Tech University </t>
  </si>
  <si>
    <t>University of Houston</t>
  </si>
  <si>
    <t>University of North Texas</t>
  </si>
  <si>
    <t>University of Texas at Austin</t>
  </si>
  <si>
    <t>Texas Woman's University</t>
  </si>
  <si>
    <t>University of Texas at Arlington</t>
  </si>
  <si>
    <t>University of Texas at Dallas</t>
  </si>
  <si>
    <t>Angelo State University</t>
  </si>
  <si>
    <t>Lamar University</t>
  </si>
  <si>
    <t xml:space="preserve">Sam Houston State University </t>
  </si>
  <si>
    <t>Stephen F. Austin State University</t>
  </si>
  <si>
    <t xml:space="preserve">Sul Ross State University </t>
  </si>
  <si>
    <t xml:space="preserve">Texas Southern University </t>
  </si>
  <si>
    <t xml:space="preserve">University of Houston-Clear Lake </t>
  </si>
  <si>
    <t>University of Texas at El Paso</t>
  </si>
  <si>
    <t>University of Texas at San Antonio</t>
  </si>
  <si>
    <t>University of Texas at Tyler</t>
  </si>
  <si>
    <t>University of Texas-Pan American</t>
  </si>
  <si>
    <t>University of Texas at Brownsville</t>
  </si>
  <si>
    <t>University of Texas of the Permian Basin</t>
  </si>
  <si>
    <t>Sul Ross State University-Rio Grande College</t>
  </si>
  <si>
    <t>228501B</t>
  </si>
  <si>
    <t>University of Houston-Downtown</t>
  </si>
  <si>
    <t>University of Houston-Victoria</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</si>
  <si>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</si>
  <si>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</si>
  <si>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</si>
  <si>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</si>
  <si>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</si>
  <si>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</si>
  <si>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</si>
  <si>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</si>
  <si>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Paso County Community College District</t>
  </si>
  <si>
    <t>Houston Community College</t>
  </si>
  <si>
    <t xml:space="preserve">Laredo Community College </t>
  </si>
  <si>
    <t xml:space="preserve">McLennan Community College </t>
  </si>
  <si>
    <t>North Lake College  (DCCCD)</t>
  </si>
  <si>
    <t>Northwest Vista College (ACCD)</t>
  </si>
  <si>
    <t>Palo Alto College  (ACCD)</t>
  </si>
  <si>
    <t>Richland College  (DCCCD)</t>
  </si>
  <si>
    <t>San Antonio College (ACCD)</t>
  </si>
  <si>
    <t>San Jacinto College</t>
  </si>
  <si>
    <t xml:space="preserve">South Plains College </t>
  </si>
  <si>
    <t>South Texas College</t>
  </si>
  <si>
    <t>St. Philip's College  (ACCD)</t>
  </si>
  <si>
    <t>Tarrant County College</t>
  </si>
  <si>
    <t xml:space="preserve">Texas Southmost College </t>
  </si>
  <si>
    <t xml:space="preserve">Tyler Junior College </t>
  </si>
  <si>
    <t xml:space="preserve">Alvin Community College </t>
  </si>
  <si>
    <t xml:space="preserve">Angelina College </t>
  </si>
  <si>
    <t xml:space="preserve">Brazosport College </t>
  </si>
  <si>
    <t>Cedar Valley College  (DCCCD)</t>
  </si>
  <si>
    <t>Cisco Junior College</t>
  </si>
  <si>
    <t>Coastal Bend College</t>
  </si>
  <si>
    <t>College of the Mainland</t>
  </si>
  <si>
    <t>El Centro College  (DCCCD)</t>
  </si>
  <si>
    <t xml:space="preserve">Grayson County College </t>
  </si>
  <si>
    <t>Hill College</t>
  </si>
  <si>
    <t>Howard College (HCJCD)</t>
  </si>
  <si>
    <t xml:space="preserve">Kilgore College </t>
  </si>
  <si>
    <t>Lamar Institute of Technology</t>
  </si>
  <si>
    <t>Lamar State College-Port Arthur</t>
  </si>
  <si>
    <t xml:space="preserve">Lee College </t>
  </si>
  <si>
    <t xml:space="preserve">Midland College </t>
  </si>
  <si>
    <t>Mountain View College  (DCCCD)</t>
  </si>
  <si>
    <t xml:space="preserve">Navarro College </t>
  </si>
  <si>
    <t>North Central Texas Community College</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</si>
  <si>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</si>
  <si>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</si>
  <si>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</si>
  <si>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</si>
  <si>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</si>
  <si>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</si>
  <si>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Texas State Technical College-Waco</t>
  </si>
  <si>
    <t>Trinity Valley Community College</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</si>
  <si>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</si>
  <si>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</si>
  <si>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</si>
  <si>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</si>
  <si>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</si>
  <si>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</si>
  <si>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</si>
  <si>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</si>
  <si>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 xml:space="preserve">Northeast Texas Community College </t>
  </si>
  <si>
    <t>Panola College</t>
  </si>
  <si>
    <t xml:space="preserve">Ranger College </t>
  </si>
  <si>
    <t>Southwest Collegiate Institute for the Deaf (HCJCD)</t>
  </si>
  <si>
    <t>Texas State Technical College-Marshall</t>
  </si>
  <si>
    <t>Texas State Technical College-West Texas</t>
  </si>
  <si>
    <t xml:space="preserve">Western Texas College </t>
  </si>
  <si>
    <t>Alamo Community College District (ACCD)</t>
  </si>
  <si>
    <t>Dallas County Community College District (DCCD)</t>
  </si>
  <si>
    <t>Howard County Community/Junior College District (HCJCD)</t>
  </si>
  <si>
    <t>Northeast Lakeview College (ACCD)</t>
  </si>
  <si>
    <t>Technical</t>
  </si>
  <si>
    <t>12</t>
  </si>
  <si>
    <t>13</t>
  </si>
  <si>
    <t>Grand
Total FTE</t>
  </si>
  <si>
    <t>Georgia Gwinnett College</t>
  </si>
  <si>
    <t>Size Unknown</t>
  </si>
  <si>
    <t xml:space="preserve"> </t>
  </si>
  <si>
    <t>Public Four-Year Universities, Two-Year Colleges</t>
  </si>
  <si>
    <t>All</t>
  </si>
  <si>
    <t>TOTAL</t>
  </si>
  <si>
    <t>Full-Year Full-Time-Equivalent Undergraduate Enrollment</t>
  </si>
  <si>
    <t>Full-Year Full-Time-Equivalent Graduate Enrollment</t>
  </si>
  <si>
    <t>Full-Year Full-Time-Equivalent Credit-Hour Enrollment</t>
  </si>
  <si>
    <t>Full-Year Full-Time-Equivalent Contact-Hour Enrollment</t>
  </si>
  <si>
    <t>Total Full-Year Full-Time-Equivalent Enrollment</t>
  </si>
  <si>
    <t>Extra sub-totals to use with funding data.</t>
  </si>
  <si>
    <t>OLD</t>
  </si>
  <si>
    <t>Totals for Per FTE Funding Calculation</t>
  </si>
  <si>
    <t>Prior year for Highlights report</t>
  </si>
  <si>
    <t>sem</t>
  </si>
  <si>
    <t>Category2</t>
  </si>
  <si>
    <t>Old-Total Undg CH</t>
  </si>
  <si>
    <t>Old-Total Undg CH FTE</t>
  </si>
  <si>
    <t>Technical Institutes or Colleges</t>
  </si>
  <si>
    <t>Old-Term Code</t>
  </si>
  <si>
    <t>New-Term Code</t>
  </si>
  <si>
    <t>Old-Total Undg SCH</t>
  </si>
  <si>
    <t>New-Total Undg SCH</t>
  </si>
  <si>
    <t>New-Total Undg CH</t>
  </si>
  <si>
    <t>Old-Total Grad SCH</t>
  </si>
  <si>
    <t>New-Total Grad SCH</t>
  </si>
  <si>
    <t>Old-Total Grad FTE</t>
  </si>
  <si>
    <t>New-Total Grad FTE</t>
  </si>
  <si>
    <t>Old-Total Undg SCH FTE</t>
  </si>
  <si>
    <t>New-Total Undg SCH FTE</t>
  </si>
  <si>
    <t>New-Total Undg CH FTE</t>
  </si>
  <si>
    <t>Data</t>
  </si>
  <si>
    <t>Grand Total</t>
  </si>
  <si>
    <t>Old Grand Total FTE</t>
  </si>
  <si>
    <t>7</t>
  </si>
  <si>
    <t>8</t>
  </si>
  <si>
    <t>9</t>
  </si>
  <si>
    <t>10</t>
  </si>
  <si>
    <t>New Grand Total FTE</t>
  </si>
  <si>
    <t>Four-Year</t>
  </si>
  <si>
    <t xml:space="preserve"> Two-Year</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</si>
  <si>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</si>
  <si>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</si>
  <si>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</si>
  <si>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</si>
  <si>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</si>
  <si>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</si>
  <si>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</si>
  <si>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</si>
  <si>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</si>
  <si>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</si>
  <si>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</si>
  <si>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</si>
  <si>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</si>
  <si>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</si>
  <si>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</si>
  <si>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</si>
  <si>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Two-Year</t>
  </si>
  <si>
    <t xml:space="preserve"> Undergrad Contact Hour FTE - New</t>
  </si>
  <si>
    <t>Total  Undergrad Contact Hour FTE - New</t>
  </si>
  <si>
    <t xml:space="preserve"> Undergrad Contact Hour FTE - Old</t>
  </si>
  <si>
    <t>Total  Undergrad Contact Hour FTE - Old</t>
  </si>
  <si>
    <t>Undergrad Student Credit Hour FTE - New</t>
  </si>
  <si>
    <t>Total Undergrad Student Credit Hour FTE - New</t>
  </si>
  <si>
    <t>Undergrad Student Credit Hour  FTE - Old</t>
  </si>
  <si>
    <t>Total Undergrad Student Credit Hour  FTE - Old</t>
  </si>
  <si>
    <t>Graduate FTE - Old</t>
  </si>
  <si>
    <t>Total Graduate FTE - Old</t>
  </si>
  <si>
    <t>Graduate FTE - New</t>
  </si>
  <si>
    <t>Total Graduate FTE - New</t>
  </si>
  <si>
    <t xml:space="preserve"> % Change Graduate  FTE</t>
  </si>
  <si>
    <t>Total  % Change Graduate  FTE</t>
  </si>
  <si>
    <t>Grand Total FTE - New</t>
  </si>
  <si>
    <t>Total Grand Total FTE - New</t>
  </si>
  <si>
    <t xml:space="preserve"> % Change Grand Total FTE</t>
  </si>
  <si>
    <t>Total  % Change Grand Total FTE</t>
  </si>
  <si>
    <t xml:space="preserve"> % Change Undergrad SCH FTE</t>
  </si>
  <si>
    <t>Total  % Change Undergrad SCH FTE</t>
  </si>
  <si>
    <t xml:space="preserve"> % Change Undergrad CH FTE</t>
  </si>
  <si>
    <t>Total  % Change Undergrad CH FTE</t>
  </si>
  <si>
    <t>Delaware</t>
  </si>
  <si>
    <t>Institution</t>
  </si>
  <si>
    <t>ID #</t>
  </si>
  <si>
    <t>Category</t>
  </si>
  <si>
    <t>State</t>
  </si>
  <si>
    <t>IPEDS ID #</t>
  </si>
  <si>
    <t>Undergraduate Credit Hours</t>
  </si>
  <si>
    <t>Undergraduate Contact Hours</t>
  </si>
  <si>
    <t>Graduate Credit Hours</t>
  </si>
  <si>
    <t>Calculated</t>
  </si>
  <si>
    <t>IPEDS</t>
  </si>
  <si>
    <t>Winter</t>
  </si>
  <si>
    <t>Spring</t>
  </si>
  <si>
    <t>Summer</t>
  </si>
  <si>
    <t>Fall</t>
  </si>
  <si>
    <t>Total hours</t>
  </si>
  <si>
    <t>Quarter</t>
  </si>
  <si>
    <t>old-Winter Undg SCH</t>
  </si>
  <si>
    <t>new-Winter Undg SCH</t>
  </si>
  <si>
    <t>old-Spring Undg SCH</t>
  </si>
  <si>
    <t>new-Spring Undg SCH</t>
  </si>
  <si>
    <t>old-Summer Undg SCH</t>
  </si>
  <si>
    <t>new-Summer Undg SCH</t>
  </si>
  <si>
    <t>old-Fall Undg SCH</t>
  </si>
  <si>
    <t>new-Fall Undg SCH</t>
  </si>
  <si>
    <t>old-Winter Undg CH</t>
  </si>
  <si>
    <t>new-Winter Undg CH</t>
  </si>
  <si>
    <t>old-Spring Undg CH</t>
  </si>
  <si>
    <t>new-Spring Undg CH</t>
  </si>
  <si>
    <t>old-Summer Undg CH</t>
  </si>
  <si>
    <t>new-Summer Undg CH</t>
  </si>
  <si>
    <t>old-Fall Undg CH</t>
  </si>
  <si>
    <t>new-Fall Undg CH</t>
  </si>
  <si>
    <t>old-Winter Grad SCH</t>
  </si>
  <si>
    <t>new-Winter Grad SCH</t>
  </si>
  <si>
    <t>old-Spring Grad SCH</t>
  </si>
  <si>
    <t>new-Spring Grad SCH</t>
  </si>
  <si>
    <t>old-Summer Grad SCH</t>
  </si>
  <si>
    <t>new-Summer Grad SCH</t>
  </si>
  <si>
    <t>old-Fall Grad SCH</t>
  </si>
  <si>
    <t>new-Fall Grad SCH</t>
  </si>
  <si>
    <t>FTE</t>
  </si>
  <si>
    <t>With Bachelor's</t>
  </si>
  <si>
    <t>%Change from prior year</t>
  </si>
  <si>
    <t>GA</t>
  </si>
  <si>
    <t>Albany Technical College</t>
  </si>
  <si>
    <t>quar</t>
  </si>
  <si>
    <t>Altamaha Technical College</t>
  </si>
  <si>
    <t>Athens Technical College</t>
  </si>
  <si>
    <t>Atlanta Technical College</t>
  </si>
  <si>
    <t>Augusta Technical College</t>
  </si>
  <si>
    <t>Central Georgia Technical College</t>
  </si>
  <si>
    <t>Chattahoochee Technical College</t>
  </si>
  <si>
    <t>Columbus Technical College</t>
  </si>
  <si>
    <t>DeKalb Technical College</t>
  </si>
  <si>
    <t>East Central Technical College</t>
  </si>
  <si>
    <t>Flint River Technical College</t>
  </si>
  <si>
    <t>Griffin Technical College</t>
  </si>
  <si>
    <t>Gwinnett Technical College</t>
  </si>
  <si>
    <t>Heart of Georgia Technical College</t>
  </si>
  <si>
    <t>Lanier Technical College</t>
  </si>
  <si>
    <t>Middle Georgia Technical College</t>
  </si>
  <si>
    <t>Moultrie Technical College</t>
  </si>
  <si>
    <t>North Georgia Technical College</t>
  </si>
  <si>
    <t>Ogeechee Technical College</t>
  </si>
  <si>
    <t>Okefenokee Technical College</t>
  </si>
  <si>
    <t>Savannah Technical College</t>
  </si>
  <si>
    <t>South Georgia Technical College</t>
  </si>
  <si>
    <t>Southeastern Technical College</t>
  </si>
  <si>
    <t>Southwest Georgia Technical College</t>
  </si>
  <si>
    <t>Valdosta Technical College</t>
  </si>
  <si>
    <t>West Georgia Technical College</t>
  </si>
  <si>
    <t>Sandersville Technical College</t>
  </si>
  <si>
    <t>NC</t>
  </si>
  <si>
    <t>Asheville-Buncombe Technical Community College</t>
  </si>
  <si>
    <t>Cape Fear Community College</t>
  </si>
  <si>
    <t>Catawba Valley Community College</t>
  </si>
  <si>
    <t>Central Carolina Commuity College</t>
  </si>
  <si>
    <t xml:space="preserve">Central Piedmont Community College </t>
  </si>
  <si>
    <t>Fayetteville Technical Community College</t>
  </si>
  <si>
    <t>Forsyth Technical Community College</t>
  </si>
  <si>
    <t>Guilford Technical Community College</t>
  </si>
  <si>
    <t>Pitt Community College</t>
  </si>
  <si>
    <t>Wake Technical Community College</t>
  </si>
  <si>
    <t>Alamance Community College</t>
  </si>
  <si>
    <t xml:space="preserve">Beaufort County Community College </t>
  </si>
  <si>
    <t>Blue Ridge Community College</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</si>
  <si>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</si>
  <si>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</si>
  <si>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</si>
  <si>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</si>
  <si>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</si>
  <si>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</si>
  <si>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</si>
  <si>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 xml:space="preserve">Gaston College </t>
  </si>
  <si>
    <t>Haywood Community College</t>
  </si>
  <si>
    <t xml:space="preserve">Isothermal Community College </t>
  </si>
  <si>
    <t>Johnston Community College</t>
  </si>
  <si>
    <t xml:space="preserve">Lenoir Community College </t>
  </si>
  <si>
    <t xml:space="preserve">Mitchell Community College </t>
  </si>
  <si>
    <t>Nash Community College</t>
  </si>
  <si>
    <t>Piedmont Community College</t>
  </si>
  <si>
    <t>Randolph Community College</t>
  </si>
  <si>
    <t>Richmond Community College</t>
  </si>
  <si>
    <t>Robeson Community College</t>
  </si>
  <si>
    <t xml:space="preserve">Rockingham Community College </t>
  </si>
  <si>
    <t>Rowan-Cabarrus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</si>
  <si>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</si>
  <si>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</si>
  <si>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</si>
  <si>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</si>
  <si>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</si>
  <si>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</si>
  <si>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</si>
  <si>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</si>
  <si>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</si>
  <si>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</si>
  <si>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Wilson Technical Community College</t>
  </si>
  <si>
    <t>Bladen Community College</t>
  </si>
  <si>
    <t>Brunswick Community College</t>
  </si>
  <si>
    <t>Carteret Community College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</si>
  <si>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</si>
  <si>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</si>
  <si>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</si>
  <si>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</si>
  <si>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</si>
  <si>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</si>
  <si>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</si>
  <si>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Roanoke-Chowan Community College</t>
  </si>
  <si>
    <t>Sampson Community College</t>
  </si>
  <si>
    <t xml:space="preserve">Tri-County Community College </t>
  </si>
  <si>
    <t xml:space="preserve">North Carolina State University </t>
  </si>
  <si>
    <t xml:space="preserve">University of North Carolina at Chapel Hill </t>
  </si>
  <si>
    <t>University of North Carolina at Greensboro</t>
  </si>
  <si>
    <t xml:space="preserve">Appalachian State University </t>
  </si>
  <si>
    <t xml:space="preserve">East Carolina University </t>
  </si>
  <si>
    <t xml:space="preserve">North Carolina Central University </t>
  </si>
  <si>
    <t>University of North Carolina at Charlotte</t>
  </si>
  <si>
    <t>University of North Carolina at Wilmington</t>
  </si>
  <si>
    <t xml:space="preserve">Western Carolina University </t>
  </si>
  <si>
    <t xml:space="preserve">Fayetteville State University </t>
  </si>
  <si>
    <t>University of North Carolina at Pembroke</t>
  </si>
  <si>
    <t xml:space="preserve">Elizabeth City State University </t>
  </si>
  <si>
    <t>University of North Carolina at Asheville</t>
  </si>
  <si>
    <t xml:space="preserve">Winston-Salem State University </t>
  </si>
  <si>
    <t>11b</t>
  </si>
  <si>
    <t>Total</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</si>
  <si>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</si>
  <si>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</si>
  <si>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</si>
  <si>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</si>
  <si>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</si>
  <si>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</si>
  <si>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</si>
  <si>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</si>
  <si>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</si>
  <si>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</si>
  <si>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</si>
  <si>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</si>
  <si>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Fort Valley State University</t>
  </si>
  <si>
    <t>Georgia Southwestern State University</t>
  </si>
  <si>
    <t>NEW</t>
  </si>
  <si>
    <t>North Georgia College and State University</t>
  </si>
  <si>
    <t>Savannah State University</t>
  </si>
  <si>
    <t>Clayton State University</t>
  </si>
  <si>
    <t xml:space="preserve">Dalton State College </t>
  </si>
  <si>
    <t xml:space="preserve">Macon State College </t>
  </si>
  <si>
    <t xml:space="preserve">Georgia Perimeter College </t>
  </si>
  <si>
    <t xml:space="preserve">Abraham Baldwin Agricultural College </t>
  </si>
  <si>
    <t xml:space="preserve">Darton College </t>
  </si>
  <si>
    <t xml:space="preserve">Gainesville State College </t>
  </si>
  <si>
    <t>Georgia Highlands College</t>
  </si>
  <si>
    <t xml:space="preserve">Gordon College </t>
  </si>
  <si>
    <t xml:space="preserve">Middle Georgia College </t>
  </si>
  <si>
    <t>Atlanta Metropolitan College</t>
  </si>
  <si>
    <t xml:space="preserve">Bainbridge College </t>
  </si>
  <si>
    <t>East Georgia College</t>
  </si>
  <si>
    <t xml:space="preserve">South Georgia College </t>
  </si>
  <si>
    <t xml:space="preserve">Waycross College </t>
  </si>
  <si>
    <t>MS</t>
  </si>
  <si>
    <t>University of Southern Mississippi</t>
  </si>
  <si>
    <t xml:space="preserve">Jackson State University </t>
  </si>
  <si>
    <t>Mississippi State University</t>
  </si>
  <si>
    <t>University of Mississippi</t>
  </si>
  <si>
    <t>Alcorn State University</t>
  </si>
  <si>
    <t>Delta State University</t>
  </si>
  <si>
    <t>Mississippi University for Women</t>
  </si>
  <si>
    <t>Mississippi Valley State University</t>
  </si>
  <si>
    <t>FL</t>
  </si>
  <si>
    <t xml:space="preserve">Florida State University </t>
  </si>
  <si>
    <t>University of Florida</t>
  </si>
  <si>
    <t xml:space="preserve">University of South Florida </t>
  </si>
  <si>
    <t xml:space="preserve">Florida Atlantic University </t>
  </si>
  <si>
    <t>Florida International University</t>
  </si>
  <si>
    <t xml:space="preserve">University of Central Florida </t>
  </si>
  <si>
    <t xml:space="preserve">Florida Agricultural &amp; Mechanical University </t>
  </si>
  <si>
    <t>University of North Florida</t>
  </si>
  <si>
    <t>University of West Florida</t>
  </si>
  <si>
    <t>Florida Gulf Coast University</t>
  </si>
  <si>
    <t>New College of Florida</t>
  </si>
  <si>
    <t>OK</t>
  </si>
  <si>
    <t xml:space="preserve">Francis Tuttle Technology Center                  </t>
  </si>
  <si>
    <t xml:space="preserve">Great Plains Technology Center                    </t>
  </si>
  <si>
    <t xml:space="preserve">Metro Technology Centers                          </t>
  </si>
  <si>
    <t xml:space="preserve">Moore Norman Technology Center                    </t>
  </si>
  <si>
    <t xml:space="preserve">Tulsa Technology Center-Broken Arrow Campus       </t>
  </si>
  <si>
    <t xml:space="preserve">Autry Technology Center                           </t>
  </si>
  <si>
    <t xml:space="preserve">Caddo Kiowa Technology Center                     </t>
  </si>
  <si>
    <t xml:space="preserve">Canadian Valley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</si>
  <si>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</si>
  <si>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</si>
  <si>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</si>
  <si>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</si>
  <si>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</si>
  <si>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</si>
  <si>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</si>
  <si>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</si>
  <si>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</si>
  <si>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</si>
  <si>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</si>
  <si>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</si>
  <si>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</si>
  <si>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</si>
  <si>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</si>
  <si>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</si>
  <si>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</si>
  <si>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</si>
  <si>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</si>
  <si>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</si>
  <si>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</si>
  <si>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</si>
  <si>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Northeast Technology Center-Afton                 </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</si>
  <si>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</si>
  <si>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</si>
  <si>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</si>
  <si>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</si>
  <si>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</si>
  <si>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</si>
  <si>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</si>
  <si>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</si>
  <si>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</si>
  <si>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</si>
  <si>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</si>
  <si>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Center-Lemley Campus             </t>
  </si>
  <si>
    <t xml:space="preserve">Tulsa Technology Center-Riverside Campus          </t>
  </si>
  <si>
    <t xml:space="preserve">Wes Watkins Technology Center                     </t>
  </si>
  <si>
    <t xml:space="preserve">Western Technology Center                         </t>
  </si>
  <si>
    <t>WV</t>
  </si>
  <si>
    <t>West Virginia University</t>
  </si>
  <si>
    <t xml:space="preserve">Marshall University </t>
  </si>
  <si>
    <t xml:space="preserve">Bluefield State College </t>
  </si>
  <si>
    <t xml:space="preserve">Concord University </t>
  </si>
  <si>
    <t>Fairmont State University</t>
  </si>
  <si>
    <t xml:space="preserve">Glenville State College </t>
  </si>
  <si>
    <t xml:space="preserve">Shepherd University </t>
  </si>
  <si>
    <t xml:space="preserve">West Virginia State University </t>
  </si>
  <si>
    <t>West Virginia University Institute of Technology</t>
  </si>
  <si>
    <t>West Virginia University at Parkersburg</t>
  </si>
  <si>
    <t>Pierpont Community &amp; Technical College</t>
  </si>
  <si>
    <t>Blue Ridge Community &amp; Technical College</t>
  </si>
  <si>
    <t>Eastern West Virginia Community &amp; Technical College</t>
  </si>
  <si>
    <t>Marshall Community &amp; Technical College</t>
  </si>
  <si>
    <t>New River Community &amp; Technical College</t>
  </si>
  <si>
    <t>Potomac State College of West Virginia University</t>
  </si>
  <si>
    <t xml:space="preserve">Southern West Virginia Community &amp; Technical College </t>
  </si>
  <si>
    <t>West Virginia Northern Community College</t>
  </si>
  <si>
    <t>VA</t>
  </si>
  <si>
    <t>10b</t>
  </si>
  <si>
    <t>AR</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</si>
  <si>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</si>
  <si>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</si>
  <si>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</si>
  <si>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</si>
  <si>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</si>
  <si>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</si>
  <si>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</si>
  <si>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</si>
  <si>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Pine Bluff</t>
  </si>
  <si>
    <t>Pulaski Technical College</t>
  </si>
  <si>
    <t>Arkansas State University-Beebe</t>
  </si>
  <si>
    <t xml:space="preserve">Northwest Arkansas Community College </t>
  </si>
  <si>
    <t>Arkansas Northeastern College</t>
  </si>
  <si>
    <t>Arkansas State University Mountain Home</t>
  </si>
  <si>
    <t>Arkansas State University-Newport</t>
  </si>
  <si>
    <t>Black River Technical College</t>
  </si>
  <si>
    <t>Cossatot Community College of the University of Arkansas</t>
  </si>
  <si>
    <t xml:space="preserve">East Arkansas Community College </t>
  </si>
  <si>
    <t xml:space="preserve">Mid-South Community College </t>
  </si>
  <si>
    <t>National Park Community College</t>
  </si>
  <si>
    <t>North Arkansas College</t>
  </si>
  <si>
    <t xml:space="preserve">Ouachita Technical College </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</si>
  <si>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</si>
  <si>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</si>
  <si>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</si>
  <si>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</si>
  <si>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</si>
  <si>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</si>
  <si>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</si>
  <si>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</si>
  <si>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</si>
  <si>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SC</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</si>
  <si>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</si>
  <si>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</si>
  <si>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</si>
  <si>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</si>
  <si>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</si>
  <si>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</si>
  <si>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</si>
  <si>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Lander University</t>
  </si>
  <si>
    <t xml:space="preserve">South Carolina State University </t>
  </si>
  <si>
    <t>University of South Carolina-Aiken</t>
  </si>
  <si>
    <t>University of South Carolina-Upstate</t>
  </si>
  <si>
    <t>University of South Carolina-Beaufort</t>
  </si>
  <si>
    <t xml:space="preserve">Greenville Technical College </t>
  </si>
  <si>
    <t xml:space="preserve">Midlands Technical College </t>
  </si>
  <si>
    <t xml:space="preserve">Trident Technical College </t>
  </si>
  <si>
    <t xml:space="preserve">Aiken Technical College </t>
  </si>
  <si>
    <t xml:space="preserve">Central Carolina Technical College </t>
  </si>
  <si>
    <t xml:space="preserve">Florence-Darlington Technical College </t>
  </si>
  <si>
    <t xml:space="preserve">Horry-Georgetown Technical College </t>
  </si>
  <si>
    <t>Orangeburg-Calhoun Technical College</t>
  </si>
  <si>
    <t xml:space="preserve">Piedmont Technical College </t>
  </si>
  <si>
    <t xml:space="preserve">Tri-County Technical College </t>
  </si>
  <si>
    <t xml:space="preserve">York Technical College </t>
  </si>
  <si>
    <t xml:space="preserve">Denmark Technical College </t>
  </si>
  <si>
    <t>Northeastern Technical College</t>
  </si>
  <si>
    <t>Technical College of the Low Country</t>
  </si>
  <si>
    <t>University of South Carolina-Lancaster</t>
  </si>
  <si>
    <t>University of South Carolina-Salkehatchie</t>
  </si>
  <si>
    <t>Tennessee Technology Center at Hohenwald</t>
  </si>
  <si>
    <t>A change of more than a 10% up or down will trigger a red warning.</t>
  </si>
  <si>
    <t>Old-Total HS SCH</t>
  </si>
  <si>
    <t>New-Total HS SCH</t>
  </si>
  <si>
    <t>Old-Total HS CH</t>
  </si>
  <si>
    <t>New-Total HS CH</t>
  </si>
  <si>
    <t xml:space="preserve">College of Coastal Georgia </t>
  </si>
  <si>
    <t>LA</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</si>
  <si>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</si>
  <si>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</si>
  <si>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</si>
  <si>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</si>
  <si>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</si>
  <si>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</si>
  <si>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</si>
  <si>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</si>
  <si>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</si>
  <si>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</si>
  <si>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</si>
  <si>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</si>
  <si>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</si>
  <si>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 xml:space="preserve">Delgado Community College </t>
  </si>
  <si>
    <t>Baton Rouge Community College</t>
  </si>
  <si>
    <t>Bossier Parish Community College</t>
  </si>
  <si>
    <t>Louisiana State University at Eunice</t>
  </si>
  <si>
    <t>Louisiana Delta Community College</t>
  </si>
  <si>
    <t>Nunez Community College</t>
  </si>
  <si>
    <t>River Parishes Community College</t>
  </si>
  <si>
    <t>South Louisiana Community College</t>
  </si>
  <si>
    <t>Southern University in Shreveport</t>
  </si>
  <si>
    <t>Sowela Technical Community College</t>
  </si>
  <si>
    <t>L.E. Fletcher Technical Community College</t>
  </si>
  <si>
    <t>for use in FB37</t>
  </si>
  <si>
    <t>For use in FB 37 and DE Highlights</t>
  </si>
  <si>
    <r>
      <rPr>
        <b/>
        <sz val="10"/>
        <rFont val="Arial"/>
        <family val="2"/>
      </rPr>
      <t>Old</t>
    </r>
    <r>
      <rPr>
        <sz val="10"/>
        <rFont val="Arial"/>
        <family val="2"/>
      </rPr>
      <t xml:space="preserve"> % by H.S. Students</t>
    </r>
  </si>
  <si>
    <t>Hours taken by students still in high school (dual enrollment, joint enrollment, early college, etc.)</t>
  </si>
  <si>
    <t>Montgomery College (all campuses)</t>
  </si>
  <si>
    <t>For use in DE Highlights and Fact Book</t>
  </si>
  <si>
    <t>Two Year 1</t>
  </si>
  <si>
    <t>Four-Year 1</t>
  </si>
  <si>
    <t>w/ Bachelor's</t>
  </si>
  <si>
    <t>Technical 1</t>
  </si>
  <si>
    <t>size unknown</t>
  </si>
  <si>
    <t>Old-Total Undg SCH2</t>
  </si>
  <si>
    <t>New-Total Undg SCH2</t>
  </si>
  <si>
    <t>Old-Total Undg CH2</t>
  </si>
  <si>
    <t>New-Total Undg CH2</t>
  </si>
  <si>
    <t>—</t>
  </si>
  <si>
    <t xml:space="preserve"> HS % Change</t>
  </si>
  <si>
    <t>Total  HS % Change</t>
  </si>
  <si>
    <t>Adjusted Total hours for HS calcs</t>
  </si>
  <si>
    <t>Semester or</t>
  </si>
  <si>
    <t>Auburn University</t>
  </si>
  <si>
    <t xml:space="preserve">sem </t>
  </si>
  <si>
    <t>State College of Florida, Manatee-Sarasota</t>
  </si>
  <si>
    <t>Georgia Northwestern Technical College</t>
  </si>
  <si>
    <t>Louisiana State University and A&amp;M College</t>
  </si>
  <si>
    <t>Louisiana Technical College-Alexandria Campus</t>
  </si>
  <si>
    <t>Caldwell Community College &amp; Technical Institute</t>
  </si>
  <si>
    <t>Northeast Technology Center-Claremore</t>
  </si>
  <si>
    <t xml:space="preserve">Spartanburg Community College </t>
  </si>
  <si>
    <t xml:space="preserve">Texas A&amp;M University </t>
  </si>
  <si>
    <t>Midwestern State University</t>
  </si>
  <si>
    <t>Prairie View A&amp;M University</t>
  </si>
  <si>
    <t>Tarleton State University</t>
  </si>
  <si>
    <t>Texas A&amp;M University-Commerce</t>
  </si>
  <si>
    <t xml:space="preserve">Texas A&amp;M University-Corpus Christi </t>
  </si>
  <si>
    <t>Texas A&amp;M University-Kingsville</t>
  </si>
  <si>
    <t>Texas State University-San Marcos</t>
  </si>
  <si>
    <t>West Texas A&amp;M University</t>
  </si>
  <si>
    <t>Texas A&amp;M -Texarkana</t>
  </si>
  <si>
    <t>Texas A&amp;M University at Galveston</t>
  </si>
  <si>
    <t>Lone Star College System District</t>
  </si>
  <si>
    <t>08b</t>
  </si>
  <si>
    <t>09b</t>
  </si>
  <si>
    <t>TEXAS A&amp;M UNIV-CENTRAL TEXAS</t>
  </si>
  <si>
    <t>???</t>
  </si>
  <si>
    <t>TEXAS A&amp;M UNIV-SAN ANTONIO</t>
  </si>
  <si>
    <t>UNIV. OF NORTH TEXAS AT DALLAS</t>
  </si>
  <si>
    <t>Bridgemont Community &amp; Technical College</t>
  </si>
  <si>
    <t>Kanawha Valley Community &amp; Technical College</t>
  </si>
  <si>
    <t>08b Total</t>
  </si>
  <si>
    <t>09b Total</t>
  </si>
  <si>
    <t>Public Four-Year Institutions, 2009-10</t>
  </si>
  <si>
    <t>Public Two-Year Colleges and Technical Institutes or Colleges, 2009-10</t>
  </si>
  <si>
    <t>Public Two-Year Colleges, 2009-10</t>
  </si>
  <si>
    <t>Public Technical Institutes or Colleges, 2009-10</t>
  </si>
  <si>
    <t xml:space="preserve"> and Technical Institutes or Colleges, 2009-10</t>
  </si>
  <si>
    <t>December 2010</t>
  </si>
  <si>
    <t xml:space="preserve">George Mason University </t>
  </si>
  <si>
    <t>University of Virginia</t>
  </si>
  <si>
    <t xml:space="preserve">Virginia Tech </t>
  </si>
  <si>
    <t>College of William &amp; Mary</t>
  </si>
  <si>
    <t xml:space="preserve">Old Dominion University </t>
  </si>
  <si>
    <t xml:space="preserve">James Madison University  </t>
  </si>
  <si>
    <t>Radford University</t>
  </si>
  <si>
    <t>Christopher Newport University</t>
  </si>
  <si>
    <t xml:space="preserve">Norfolk State University </t>
  </si>
  <si>
    <t xml:space="preserve">Virginia State University </t>
  </si>
  <si>
    <t xml:space="preserve">Longwood University </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</si>
  <si>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</si>
  <si>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</si>
  <si>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</si>
  <si>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</si>
  <si>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</si>
  <si>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</si>
  <si>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</si>
  <si>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</si>
  <si>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</si>
  <si>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</si>
  <si>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</si>
  <si>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 xml:space="preserve">Lord Fairfax Community College  </t>
  </si>
  <si>
    <t xml:space="preserve">New River Community College </t>
  </si>
  <si>
    <t xml:space="preserve">Piedmont Virginia Community College </t>
  </si>
  <si>
    <t xml:space="preserve">Southside Virginia Community College  </t>
  </si>
  <si>
    <t xml:space="preserve">Southwest Virginia Community College </t>
  </si>
  <si>
    <t xml:space="preserve">Virginia Western Community College </t>
  </si>
  <si>
    <t xml:space="preserve">D.S. Lancaster Community College </t>
  </si>
  <si>
    <t xml:space="preserve">Eastern Shore Community College  </t>
  </si>
  <si>
    <t xml:space="preserve">Mountain Empire Community College  </t>
  </si>
  <si>
    <t xml:space="preserve">Patrick Henry Community College </t>
  </si>
  <si>
    <t xml:space="preserve">Paul D. Camp Community College  </t>
  </si>
  <si>
    <t xml:space="preserve">Rappahannock Community College  </t>
  </si>
  <si>
    <t xml:space="preserve">Richard Bland College </t>
  </si>
  <si>
    <t xml:space="preserve">Virginia Highlands Community College </t>
  </si>
  <si>
    <t xml:space="preserve">Wytheville Community College </t>
  </si>
  <si>
    <t>Richard Bland College B</t>
  </si>
  <si>
    <t>All Community Colleges except R. Bland</t>
  </si>
  <si>
    <t>Virginia Commonwealth University</t>
  </si>
  <si>
    <t>Indian Capital……..All Campuses</t>
  </si>
  <si>
    <t>Kiamichi………All Campuses</t>
  </si>
  <si>
    <t>Northeast………..All Campuses</t>
  </si>
  <si>
    <t>Northwest………..All Campuses</t>
  </si>
  <si>
    <t>Tulsa County Dist 18………..All Campuses</t>
  </si>
  <si>
    <t>Table 80</t>
  </si>
  <si>
    <t>Table 81</t>
  </si>
  <si>
    <t>Table 82</t>
  </si>
  <si>
    <t>Table 83</t>
  </si>
  <si>
    <t>Table 84</t>
  </si>
  <si>
    <t>Table 85</t>
  </si>
  <si>
    <t>Table 86</t>
  </si>
  <si>
    <r>
      <t>Table 86B……….</t>
    </r>
    <r>
      <rPr>
        <b/>
        <sz val="14"/>
        <color rgb="FFC00000"/>
        <rFont val="Arial"/>
        <family val="2"/>
      </rPr>
      <t>Discontinued but still used for summary info and Fact Book</t>
    </r>
    <r>
      <rPr>
        <b/>
        <sz val="14"/>
        <rFont val="Arial"/>
        <family val="2"/>
      </rPr>
      <t>-------see sections to right---------------&gt;&gt;&gt;&gt;&gt;&gt;&gt;&gt;</t>
    </r>
  </si>
  <si>
    <t>Public Two-Year Colleges and Technical Institutes or Colleges</t>
  </si>
  <si>
    <t>"8" minus "8b"</t>
  </si>
  <si>
    <t>=+GETPIVOTDATA("Sum of New-HS % of Total",'Pivot-HS Student % of Undergrad'!$A$3,"Category",1,"Category2","Four-Year")</t>
  </si>
  <si>
    <t>=+GETPIVOTDATA("Sum of New-HS % of Total",'Pivot-HS Student % of Undergrad'!$A$3,"Category",2,"Category2","Four-Year")</t>
  </si>
  <si>
    <t>=+GETPIVOTDATA("Sum of New-HS % of Total",'Pivot-HS Student % of Undergrad'!$A$3,"Category",3,"Category2","Four-Year")</t>
  </si>
  <si>
    <t>=+GETPIVOTDATA("Sum of New-HS % of Total",'Pivot-HS Student % of Undergrad'!$A$3,"Category",4,"Category2","Four-Year")</t>
  </si>
  <si>
    <t>=+GETPIVOTDATA("Sum of New-HS % of Total",'Pivot-HS Student % of Undergrad'!$A$3,"Category",5,"Category2","Four-Year")</t>
  </si>
  <si>
    <t>=+GETPIVOTDATA("Sum of New-HS % of Total",'Pivot-HS Student % of Undergrad'!$A$3,"Category",6,"Category2","Four-Year")</t>
  </si>
  <si>
    <t>=+GETPIVOTDATA("Sum of New-HS % of Total",'Pivot-HS Student % of Undergrad'!$A$3,"Category2","Group1")</t>
  </si>
  <si>
    <t>=+GETPIVOTDATA("Sum of New-HS % of Total",'Pivot-HS Student % of Undergrad'!$A$3,"Category",7,"Category2","Two-Year")</t>
  </si>
  <si>
    <t>=+GETPIVOTDATA("Sum of New-HS % of Total",'Pivot-HS Student % of Undergrad'!$A$3,"Category",8,"Category2","Two-Year")</t>
  </si>
  <si>
    <t>=+GETPIVOTDATA("Sum of New-HS % of Total",'Pivot-HS Student % of Undergrad'!$A$3,"Category",9,"Category2","Two-Year")</t>
  </si>
  <si>
    <t>=+GETPIVOTDATA("Sum of New-HS % of Total",'Pivot-HS Student % of Undergrad'!$A$3,"Category",10,"Category2","Two-Year")</t>
  </si>
  <si>
    <t>=+GETPIVOTDATA("Sum of New-HS % of Total",'Pivot-HS Student % of Undergrad'!$A$3,"Category2","Group2")</t>
  </si>
  <si>
    <t>=+GETPIVOTDATA("Sum of New-HS % of Total",'Pivot-HS Student % of Undergrad'!$A$3,"Category",12,"Category2","Technical")</t>
  </si>
  <si>
    <t>=+GETPIVOTDATA("Sum of New-HS % of Total",'Pivot-HS Student % of Undergrad'!$A$3,"Category",13,"Category2","Technical")</t>
  </si>
  <si>
    <t>=+GETPIVOTDATA("Sum of New-HS % of Total",'Pivot-HS Student % of Undergrad'!$A$3,"Category",14,"Category2","Technical")</t>
  </si>
  <si>
    <t>=+GETPIVOTDATA("Sum of New-HS % of Total",'Pivot-HS Student % of Undergrad'!$A$3,"Category2","Group3")</t>
  </si>
  <si>
    <t xml:space="preserve">Hinds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</si>
  <si>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</si>
  <si>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</si>
  <si>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</si>
  <si>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</si>
  <si>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</si>
  <si>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</si>
  <si>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Itawamba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</si>
  <si>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</si>
  <si>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</si>
  <si>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</si>
  <si>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</si>
  <si>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</si>
  <si>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</si>
  <si>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</si>
  <si>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Public Four-Year Institutions, 2008-09</t>
  </si>
  <si>
    <t>Public Two-Year Colleges and Technical Institutes or Colleges, 2008-09</t>
  </si>
  <si>
    <t>Public Two-Year Colleges, 2008-09</t>
  </si>
  <si>
    <t>Public Technical Institutes or Colleges, 2008-09</t>
  </si>
  <si>
    <t xml:space="preserve"> and Technical Institutes or Colleges, 2008-09</t>
  </si>
  <si>
    <t>=+GETPIVOTDATA("Sum of Old-HS % of Total",'Pivot-HS Student % of Undergrad'!$A$3,"Category",12,"Category2","Technical")</t>
  </si>
  <si>
    <t>=+GETPIVOTDATA("Sum of Old-HS % of Total",'Pivot-HS Student % of Undergrad'!$A$3,"Category",13,"Category2","Technical")</t>
  </si>
  <si>
    <t>=+GETPIVOTDATA("Sum of Old-HS % of Total",'Pivot-HS Student % of Undergrad'!$A$3,"Category",14,"Category2","Technical")</t>
  </si>
  <si>
    <t>=+GETPIVOTDATA("Sum of Old-HS % of Total",'Pivot-HS Student % of Undergrad'!$A$3,"Category2","Group3")</t>
  </si>
  <si>
    <t>Table 44</t>
  </si>
  <si>
    <t>Table 45</t>
  </si>
  <si>
    <t>Table 46</t>
  </si>
  <si>
    <t>Table 47</t>
  </si>
  <si>
    <t>Table 48</t>
  </si>
  <si>
    <t>Table 49</t>
  </si>
  <si>
    <t>Table 50</t>
  </si>
  <si>
    <t>February 2011</t>
  </si>
  <si>
    <t>(blank)</t>
  </si>
  <si>
    <t>(blank) Total</t>
  </si>
  <si>
    <t>for use in FB</t>
  </si>
</sst>
</file>

<file path=xl/styles.xml><?xml version="1.0" encoding="utf-8"?>
<styleSheet xmlns="http://schemas.openxmlformats.org/spreadsheetml/2006/main">
  <numFmts count="9">
    <numFmt numFmtId="43" formatCode="_(* #,##0.00_);_(* \(#,##0.00\);_(* &quot;-&quot;??_);_(@_)"/>
    <numFmt numFmtId="164" formatCode="0_)"/>
    <numFmt numFmtId="165" formatCode="_(* #,##0_);_(* \(#,##0\);_(* &quot;-&quot;??_);_(@_)"/>
    <numFmt numFmtId="166" formatCode="#,##0.0"/>
    <numFmt numFmtId="167" formatCode="General_)"/>
    <numFmt numFmtId="168" formatCode="0.0%"/>
    <numFmt numFmtId="169" formatCode="0.0"/>
    <numFmt numFmtId="170" formatCode="0.000"/>
    <numFmt numFmtId="171" formatCode="#,##0.000"/>
  </numFmts>
  <fonts count="44">
    <font>
      <sz val="8"/>
      <name val="Arial"/>
      <family val="2"/>
    </font>
    <font>
      <sz val="12"/>
      <name val="AGaramond"/>
      <family val="3"/>
    </font>
    <font>
      <sz val="12"/>
      <name val="AGaramond"/>
      <family val="1"/>
    </font>
    <font>
      <sz val="8"/>
      <name val="Arial"/>
      <family val="2"/>
    </font>
    <font>
      <sz val="9"/>
      <name val="Arial"/>
      <family val="2"/>
    </font>
    <font>
      <sz val="10"/>
      <name val="Arial"/>
      <family val="2"/>
    </font>
    <font>
      <sz val="14"/>
      <name val="Arial"/>
      <family val="2"/>
    </font>
    <font>
      <sz val="12"/>
      <name val="Arial"/>
      <family val="2"/>
    </font>
    <font>
      <b/>
      <sz val="12"/>
      <name val="Arial"/>
      <family val="2"/>
    </font>
    <font>
      <sz val="8"/>
      <name val="Arial"/>
      <family val="2"/>
    </font>
    <font>
      <b/>
      <sz val="8"/>
      <color indexed="81"/>
      <name val="Tahoma"/>
      <family val="2"/>
    </font>
    <font>
      <sz val="8"/>
      <color indexed="81"/>
      <name val="Tahoma"/>
      <family val="2"/>
    </font>
    <font>
      <b/>
      <sz val="14"/>
      <name val="Arial"/>
      <family val="2"/>
    </font>
    <font>
      <b/>
      <sz val="10"/>
      <name val="Arial"/>
      <family val="2"/>
    </font>
    <font>
      <b/>
      <sz val="9"/>
      <name val="Arial"/>
      <family val="2"/>
    </font>
    <font>
      <b/>
      <sz val="10"/>
      <color indexed="81"/>
      <name val="Tahoma"/>
      <family val="2"/>
    </font>
    <font>
      <sz val="10"/>
      <color indexed="8"/>
      <name val="Arial"/>
      <family val="2"/>
    </font>
    <font>
      <b/>
      <sz val="10"/>
      <color indexed="12"/>
      <name val="Arial"/>
      <family val="2"/>
    </font>
    <font>
      <b/>
      <sz val="10"/>
      <color indexed="10"/>
      <name val="ARIAL"/>
      <family val="2"/>
    </font>
    <font>
      <sz val="10"/>
      <color indexed="10"/>
      <name val="Arial"/>
      <family val="2"/>
    </font>
    <font>
      <sz val="10"/>
      <color indexed="12"/>
      <name val="Arial"/>
      <family val="2"/>
    </font>
    <font>
      <sz val="10"/>
      <color indexed="81"/>
      <name val="Tahoma"/>
      <family val="2"/>
    </font>
    <font>
      <sz val="10"/>
      <color indexed="16"/>
      <name val="Arial"/>
      <family val="2"/>
    </font>
    <font>
      <b/>
      <sz val="9"/>
      <color indexed="12"/>
      <name val="Arial"/>
      <family val="2"/>
    </font>
    <font>
      <sz val="9"/>
      <color indexed="12"/>
      <name val="Arial"/>
      <family val="2"/>
    </font>
    <font>
      <sz val="10"/>
      <name val="Helv"/>
    </font>
    <font>
      <sz val="10"/>
      <name val="Arial"/>
      <family val="2"/>
    </font>
    <font>
      <b/>
      <sz val="10"/>
      <color indexed="8"/>
      <name val="Arial"/>
      <family val="2"/>
    </font>
    <font>
      <b/>
      <sz val="10"/>
      <color rgb="FFC00000"/>
      <name val="ARIAL"/>
      <family val="2"/>
    </font>
    <font>
      <sz val="10"/>
      <color rgb="FFC00000"/>
      <name val="Arial"/>
      <family val="2"/>
    </font>
    <font>
      <sz val="10"/>
      <color indexed="17"/>
      <name val="Arial"/>
      <family val="2"/>
    </font>
    <font>
      <sz val="10"/>
      <color rgb="FF0000FF"/>
      <name val="Arial"/>
      <family val="2"/>
    </font>
    <font>
      <b/>
      <sz val="14"/>
      <color rgb="FFC00000"/>
      <name val="Arial"/>
      <family val="2"/>
    </font>
    <font>
      <sz val="10"/>
      <name val="Calibri"/>
      <family val="2"/>
    </font>
    <font>
      <b/>
      <sz val="11"/>
      <color rgb="FFC00000"/>
      <name val="ARIAL"/>
      <family val="2"/>
    </font>
    <font>
      <sz val="10"/>
      <color rgb="FFFF0000"/>
      <name val="Arial"/>
      <family val="2"/>
    </font>
    <font>
      <b/>
      <sz val="10"/>
      <color rgb="FFFF0000"/>
      <name val="Arial"/>
      <family val="2"/>
    </font>
    <font>
      <b/>
      <sz val="10"/>
      <color indexed="60"/>
      <name val="Arial"/>
      <family val="2"/>
    </font>
    <font>
      <b/>
      <sz val="8"/>
      <color indexed="10"/>
      <name val="Tahoma"/>
      <family val="2"/>
    </font>
    <font>
      <sz val="8"/>
      <color indexed="10"/>
      <name val="Tahoma"/>
      <family val="2"/>
    </font>
    <font>
      <b/>
      <sz val="9"/>
      <color indexed="81"/>
      <name val="Tahoma"/>
      <family val="2"/>
    </font>
    <font>
      <sz val="9"/>
      <color indexed="81"/>
      <name val="Tahoma"/>
      <family val="2"/>
    </font>
    <font>
      <sz val="10"/>
      <color theme="0"/>
      <name val="Arial"/>
      <family val="2"/>
    </font>
    <font>
      <sz val="10"/>
      <color theme="1"/>
      <name val="Arial"/>
      <family val="2"/>
    </font>
  </fonts>
  <fills count="33">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indexed="45"/>
        <bgColor indexed="42"/>
      </patternFill>
    </fill>
    <fill>
      <patternFill patternType="solid">
        <fgColor indexed="44"/>
        <bgColor indexed="64"/>
      </patternFill>
    </fill>
    <fill>
      <patternFill patternType="solid">
        <fgColor indexed="44"/>
        <bgColor indexed="42"/>
      </patternFill>
    </fill>
    <fill>
      <patternFill patternType="solid">
        <fgColor indexed="42"/>
        <bgColor indexed="42"/>
      </patternFill>
    </fill>
    <fill>
      <patternFill patternType="solid">
        <fgColor indexed="15"/>
        <bgColor indexed="64"/>
      </patternFill>
    </fill>
    <fill>
      <patternFill patternType="solid">
        <fgColor indexed="47"/>
        <bgColor indexed="42"/>
      </patternFill>
    </fill>
    <fill>
      <patternFill patternType="solid">
        <fgColor indexed="51"/>
        <bgColor indexed="64"/>
      </patternFill>
    </fill>
    <fill>
      <patternFill patternType="solid">
        <fgColor indexed="51"/>
        <bgColor indexed="42"/>
      </patternFill>
    </fill>
    <fill>
      <patternFill patternType="solid">
        <fgColor indexed="43"/>
        <bgColor indexed="64"/>
      </patternFill>
    </fill>
    <fill>
      <patternFill patternType="solid">
        <fgColor indexed="43"/>
        <bgColor indexed="42"/>
      </patternFill>
    </fill>
    <fill>
      <patternFill patternType="solid">
        <fgColor indexed="50"/>
        <bgColor indexed="64"/>
      </patternFill>
    </fill>
    <fill>
      <patternFill patternType="solid">
        <fgColor indexed="49"/>
        <bgColor indexed="64"/>
      </patternFill>
    </fill>
    <fill>
      <patternFill patternType="solid">
        <fgColor indexed="11"/>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00FFFF"/>
        <bgColor indexed="64"/>
      </patternFill>
    </fill>
    <fill>
      <patternFill patternType="solid">
        <fgColor theme="6" tint="0.59999389629810485"/>
        <bgColor indexed="64"/>
      </patternFill>
    </fill>
    <fill>
      <patternFill patternType="solid">
        <fgColor rgb="FF00FF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indexed="15"/>
        <bgColor indexed="42"/>
      </patternFill>
    </fill>
  </fills>
  <borders count="56">
    <border>
      <left/>
      <right/>
      <top/>
      <bottom/>
      <diagonal/>
    </border>
    <border>
      <left style="medium">
        <color indexed="64"/>
      </left>
      <right style="medium">
        <color indexed="64"/>
      </right>
      <top/>
      <bottom/>
      <diagonal/>
    </border>
    <border>
      <left style="thin">
        <color indexed="8"/>
      </left>
      <right/>
      <top style="thin">
        <color indexed="65"/>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8"/>
      </left>
      <right/>
      <top/>
      <bottom/>
      <diagonal/>
    </border>
    <border>
      <left style="thin">
        <color indexed="8"/>
      </left>
      <right/>
      <top/>
      <bottom style="thin">
        <color indexed="64"/>
      </bottom>
      <diagonal/>
    </border>
    <border>
      <left/>
      <right style="thin">
        <color indexed="8"/>
      </right>
      <top/>
      <bottom/>
      <diagonal/>
    </border>
    <border>
      <left/>
      <right style="thin">
        <color indexed="8"/>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8"/>
      </top>
      <bottom style="thin">
        <color indexed="64"/>
      </bottom>
      <diagonal/>
    </border>
    <border>
      <left style="thin">
        <color indexed="8"/>
      </left>
      <right/>
      <top style="thin">
        <color indexed="8"/>
      </top>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style="thin">
        <color indexed="8"/>
      </top>
      <bottom style="thin">
        <color indexed="64"/>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65"/>
      </left>
      <right/>
      <top style="thin">
        <color indexed="65"/>
      </top>
      <bottom/>
      <diagonal/>
    </border>
    <border>
      <left style="thin">
        <color indexed="8"/>
      </left>
      <right style="thin">
        <color indexed="8"/>
      </right>
      <top style="thin">
        <color indexed="8"/>
      </top>
      <bottom/>
      <diagonal/>
    </border>
    <border>
      <left style="thin">
        <color indexed="8"/>
      </left>
      <right style="thin">
        <color indexed="8"/>
      </right>
      <top style="thin">
        <color indexed="65"/>
      </top>
      <bottom/>
      <diagonal/>
    </border>
    <border>
      <left style="thin">
        <color indexed="8"/>
      </left>
      <right style="thin">
        <color indexed="8"/>
      </right>
      <top/>
      <bottom/>
      <diagonal/>
    </border>
    <border>
      <left style="thin">
        <color indexed="8"/>
      </left>
      <right/>
      <top style="thin">
        <color indexed="65"/>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64"/>
      </left>
      <right style="thin">
        <color indexed="64"/>
      </right>
      <top/>
      <bottom/>
      <diagonal/>
    </border>
    <border>
      <left style="thin">
        <color indexed="8"/>
      </left>
      <right/>
      <top style="thin">
        <color indexed="8"/>
      </top>
      <bottom style="thin">
        <color indexed="64"/>
      </bottom>
      <diagonal/>
    </border>
    <border>
      <left style="thin">
        <color indexed="8"/>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top style="thin">
        <color indexed="64"/>
      </top>
      <bottom style="thin">
        <color indexed="64"/>
      </bottom>
      <diagonal/>
    </border>
    <border>
      <left/>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65"/>
      </left>
      <right/>
      <top style="thin">
        <color indexed="8"/>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bottom style="thin">
        <color indexed="64"/>
      </bottom>
      <diagonal/>
    </border>
  </borders>
  <cellStyleXfs count="31">
    <xf numFmtId="3" fontId="0" fillId="0" borderId="0"/>
    <xf numFmtId="43" fontId="2" fillId="0" borderId="0" applyFont="0" applyFill="0" applyBorder="0" applyAlignment="0" applyProtection="0"/>
    <xf numFmtId="167" fontId="25" fillId="0" borderId="0"/>
    <xf numFmtId="167" fontId="25" fillId="0" borderId="0"/>
    <xf numFmtId="3" fontId="3" fillId="0" borderId="0"/>
    <xf numFmtId="3" fontId="3" fillId="0" borderId="0"/>
    <xf numFmtId="164" fontId="1" fillId="0" borderId="0"/>
    <xf numFmtId="164" fontId="1" fillId="0" borderId="0"/>
    <xf numFmtId="3" fontId="3" fillId="0" borderId="0"/>
    <xf numFmtId="3" fontId="3" fillId="0" borderId="0"/>
    <xf numFmtId="164" fontId="1" fillId="0" borderId="0"/>
    <xf numFmtId="164" fontId="1" fillId="0" borderId="0"/>
    <xf numFmtId="9" fontId="2" fillId="0" borderId="0" applyFont="0" applyFill="0" applyBorder="0" applyAlignment="0" applyProtection="0"/>
    <xf numFmtId="3" fontId="5" fillId="0" borderId="1" applyFont="0"/>
    <xf numFmtId="164" fontId="13" fillId="0" borderId="2" applyNumberFormat="0" applyFont="0" applyBorder="0" applyAlignment="0"/>
    <xf numFmtId="164"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164" fontId="2" fillId="0" borderId="0"/>
    <xf numFmtId="164" fontId="2" fillId="0" borderId="0"/>
  </cellStyleXfs>
  <cellXfs count="795">
    <xf numFmtId="3" fontId="0" fillId="0" borderId="0" xfId="0"/>
    <xf numFmtId="3" fontId="5" fillId="0" borderId="0" xfId="0" applyFont="1"/>
    <xf numFmtId="3" fontId="5" fillId="0" borderId="0" xfId="0" applyNumberFormat="1" applyFont="1"/>
    <xf numFmtId="3" fontId="5" fillId="0" borderId="3" xfId="0" applyFont="1" applyBorder="1"/>
    <xf numFmtId="3" fontId="5" fillId="0" borderId="0" xfId="0" applyFont="1" applyFill="1"/>
    <xf numFmtId="37" fontId="5" fillId="0" borderId="0" xfId="0" applyNumberFormat="1" applyFont="1" applyAlignment="1">
      <alignment horizontal="right"/>
    </xf>
    <xf numFmtId="37" fontId="5" fillId="0" borderId="3" xfId="0" applyNumberFormat="1" applyFont="1" applyBorder="1" applyAlignment="1">
      <alignment horizontal="right"/>
    </xf>
    <xf numFmtId="3" fontId="5" fillId="0" borderId="0" xfId="0" applyNumberFormat="1" applyFont="1" applyAlignment="1">
      <alignment horizontal="right"/>
    </xf>
    <xf numFmtId="3" fontId="5" fillId="0" borderId="4" xfId="0" applyNumberFormat="1" applyFont="1" applyBorder="1" applyAlignment="1">
      <alignment horizontal="right"/>
    </xf>
    <xf numFmtId="3" fontId="5" fillId="0" borderId="3" xfId="0" applyNumberFormat="1" applyFont="1" applyBorder="1" applyAlignment="1">
      <alignment horizontal="right"/>
    </xf>
    <xf numFmtId="3" fontId="5" fillId="0" borderId="5" xfId="0" applyNumberFormat="1" applyFont="1" applyBorder="1" applyAlignment="1">
      <alignment horizontal="right"/>
    </xf>
    <xf numFmtId="3" fontId="5" fillId="0" borderId="0" xfId="1" applyNumberFormat="1" applyFont="1" applyAlignment="1">
      <alignment horizontal="right"/>
    </xf>
    <xf numFmtId="3" fontId="5" fillId="0" borderId="4" xfId="1" applyNumberFormat="1" applyFont="1" applyBorder="1" applyAlignment="1">
      <alignment horizontal="right"/>
    </xf>
    <xf numFmtId="3" fontId="5" fillId="0" borderId="3" xfId="1" applyNumberFormat="1" applyFont="1" applyBorder="1" applyAlignment="1">
      <alignment horizontal="right"/>
    </xf>
    <xf numFmtId="3" fontId="5" fillId="0" borderId="5" xfId="1" applyNumberFormat="1" applyFont="1" applyBorder="1" applyAlignment="1">
      <alignment horizontal="right"/>
    </xf>
    <xf numFmtId="37" fontId="5" fillId="0" borderId="0" xfId="0" applyNumberFormat="1" applyFont="1" applyBorder="1" applyAlignment="1">
      <alignment horizontal="right"/>
    </xf>
    <xf numFmtId="37" fontId="5" fillId="0" borderId="6" xfId="0" applyNumberFormat="1" applyFont="1" applyBorder="1" applyAlignment="1">
      <alignment horizontal="right"/>
    </xf>
    <xf numFmtId="3" fontId="7" fillId="0" borderId="0" xfId="0" applyFont="1" applyAlignment="1">
      <alignment horizontal="centerContinuous"/>
    </xf>
    <xf numFmtId="37" fontId="5" fillId="0" borderId="7" xfId="0" applyNumberFormat="1" applyFont="1" applyBorder="1" applyAlignment="1">
      <alignment horizontal="right"/>
    </xf>
    <xf numFmtId="37" fontId="5" fillId="0" borderId="8" xfId="0" applyNumberFormat="1" applyFont="1" applyBorder="1" applyAlignment="1">
      <alignment horizontal="right"/>
    </xf>
    <xf numFmtId="3" fontId="6" fillId="0" borderId="0" xfId="0" applyFont="1" applyAlignment="1">
      <alignment horizontal="centerContinuous"/>
    </xf>
    <xf numFmtId="3" fontId="8" fillId="0" borderId="0" xfId="0" applyFont="1" applyAlignment="1">
      <alignment horizontal="centerContinuous"/>
    </xf>
    <xf numFmtId="3" fontId="5" fillId="0" borderId="0" xfId="0" applyFont="1" applyAlignment="1">
      <alignment horizontal="centerContinuous"/>
    </xf>
    <xf numFmtId="37" fontId="5" fillId="0" borderId="9" xfId="0" applyNumberFormat="1" applyFont="1" applyBorder="1" applyAlignment="1">
      <alignment horizontal="right"/>
    </xf>
    <xf numFmtId="37" fontId="5" fillId="0" borderId="10" xfId="0" applyNumberFormat="1" applyFont="1" applyBorder="1" applyAlignment="1">
      <alignment horizontal="right"/>
    </xf>
    <xf numFmtId="3" fontId="5" fillId="0" borderId="0" xfId="0" applyFont="1" applyBorder="1"/>
    <xf numFmtId="3" fontId="5" fillId="0" borderId="0" xfId="0" applyNumberFormat="1" applyFont="1" applyBorder="1"/>
    <xf numFmtId="3" fontId="4" fillId="0" borderId="11" xfId="0" applyFont="1" applyBorder="1" applyAlignment="1">
      <alignment horizontal="centerContinuous"/>
    </xf>
    <xf numFmtId="3" fontId="4" fillId="0" borderId="12" xfId="0" applyFont="1" applyBorder="1" applyAlignment="1">
      <alignment horizontal="centerContinuous"/>
    </xf>
    <xf numFmtId="3" fontId="4" fillId="0" borderId="13" xfId="0" applyFont="1" applyBorder="1" applyAlignment="1">
      <alignment horizontal="centerContinuous"/>
    </xf>
    <xf numFmtId="3" fontId="5" fillId="0" borderId="13" xfId="0" applyFont="1" applyBorder="1" applyAlignment="1">
      <alignment horizontal="centerContinuous"/>
    </xf>
    <xf numFmtId="3" fontId="5" fillId="0" borderId="11" xfId="0" applyFont="1" applyBorder="1" applyAlignment="1">
      <alignment horizontal="centerContinuous"/>
    </xf>
    <xf numFmtId="3" fontId="5" fillId="0" borderId="7" xfId="0" applyFont="1" applyBorder="1"/>
    <xf numFmtId="3" fontId="5" fillId="0" borderId="0" xfId="0" applyNumberFormat="1" applyFont="1" applyBorder="1" applyAlignment="1">
      <alignment horizontal="right"/>
    </xf>
    <xf numFmtId="3" fontId="5" fillId="0" borderId="0" xfId="1" applyNumberFormat="1" applyFont="1" applyBorder="1" applyAlignment="1">
      <alignment horizontal="right"/>
    </xf>
    <xf numFmtId="3" fontId="6" fillId="0" borderId="0" xfId="0" applyFont="1" applyBorder="1" applyAlignment="1">
      <alignment horizontal="centerContinuous"/>
    </xf>
    <xf numFmtId="3" fontId="8" fillId="0" borderId="0" xfId="0" applyFont="1" applyBorder="1" applyAlignment="1">
      <alignment horizontal="centerContinuous"/>
    </xf>
    <xf numFmtId="3" fontId="5" fillId="0" borderId="14" xfId="0" applyFont="1" applyBorder="1"/>
    <xf numFmtId="3" fontId="5" fillId="0" borderId="15" xfId="0" applyFont="1" applyBorder="1"/>
    <xf numFmtId="3" fontId="5" fillId="0" borderId="16" xfId="0" applyFont="1" applyBorder="1"/>
    <xf numFmtId="37" fontId="5" fillId="0" borderId="0" xfId="0" applyNumberFormat="1" applyFont="1" applyBorder="1" applyAlignment="1">
      <alignment horizontal="center"/>
    </xf>
    <xf numFmtId="37" fontId="5" fillId="0" borderId="3" xfId="0" applyNumberFormat="1" applyFont="1" applyBorder="1" applyAlignment="1">
      <alignment horizontal="center"/>
    </xf>
    <xf numFmtId="37" fontId="12" fillId="0" borderId="0" xfId="0" applyNumberFormat="1" applyFont="1" applyAlignment="1" applyProtection="1">
      <alignment horizontal="centerContinuous"/>
    </xf>
    <xf numFmtId="37" fontId="5" fillId="0" borderId="0" xfId="0" quotePrefix="1" applyNumberFormat="1" applyFont="1" applyBorder="1" applyAlignment="1">
      <alignment horizontal="left"/>
    </xf>
    <xf numFmtId="37" fontId="8" fillId="0" borderId="0" xfId="0" applyNumberFormat="1" applyFont="1" applyAlignment="1" applyProtection="1">
      <alignment horizontal="centerContinuous"/>
    </xf>
    <xf numFmtId="37" fontId="13" fillId="0" borderId="13" xfId="0" applyNumberFormat="1" applyFont="1" applyBorder="1" applyProtection="1"/>
    <xf numFmtId="37" fontId="13" fillId="0" borderId="17" xfId="0" applyNumberFormat="1" applyFont="1" applyBorder="1" applyAlignment="1" applyProtection="1">
      <alignment horizontal="center"/>
    </xf>
    <xf numFmtId="37" fontId="14" fillId="0" borderId="17" xfId="0" applyNumberFormat="1" applyFont="1" applyBorder="1" applyAlignment="1" applyProtection="1">
      <alignment horizontal="right"/>
    </xf>
    <xf numFmtId="37" fontId="14" fillId="0" borderId="11" xfId="0" applyNumberFormat="1" applyFont="1" applyBorder="1" applyAlignment="1" applyProtection="1">
      <alignment horizontal="right"/>
    </xf>
    <xf numFmtId="3" fontId="9" fillId="0" borderId="0" xfId="0" applyFont="1"/>
    <xf numFmtId="37" fontId="9" fillId="0" borderId="0" xfId="0" applyNumberFormat="1" applyFont="1" applyAlignment="1" applyProtection="1">
      <alignment horizontal="left"/>
    </xf>
    <xf numFmtId="3" fontId="9" fillId="0" borderId="0" xfId="0" applyNumberFormat="1" applyFont="1"/>
    <xf numFmtId="39" fontId="8" fillId="0" borderId="0" xfId="0" applyNumberFormat="1" applyFont="1" applyAlignment="1" applyProtection="1">
      <alignment horizontal="centerContinuous"/>
    </xf>
    <xf numFmtId="37" fontId="14" fillId="0" borderId="11" xfId="0" applyNumberFormat="1" applyFont="1" applyBorder="1" applyAlignment="1" applyProtection="1">
      <alignment horizontal="centerContinuous"/>
    </xf>
    <xf numFmtId="37" fontId="14" fillId="0" borderId="17" xfId="0" applyNumberFormat="1" applyFont="1" applyBorder="1" applyAlignment="1" applyProtection="1">
      <alignment horizontal="center"/>
    </xf>
    <xf numFmtId="37" fontId="14" fillId="0" borderId="10" xfId="0" applyNumberFormat="1" applyFont="1" applyBorder="1" applyAlignment="1" applyProtection="1">
      <alignment horizontal="right"/>
    </xf>
    <xf numFmtId="37" fontId="7" fillId="0" borderId="0" xfId="0" applyNumberFormat="1" applyFont="1" applyAlignment="1" applyProtection="1">
      <alignment horizontal="centerContinuous"/>
    </xf>
    <xf numFmtId="37" fontId="14" fillId="0" borderId="13" xfId="0" applyNumberFormat="1" applyFont="1" applyBorder="1" applyAlignment="1" applyProtection="1">
      <alignment horizontal="centerContinuous"/>
    </xf>
    <xf numFmtId="37" fontId="14" fillId="0" borderId="18" xfId="0" applyNumberFormat="1" applyFont="1" applyBorder="1" applyAlignment="1" applyProtection="1">
      <alignment horizontal="centerContinuous"/>
    </xf>
    <xf numFmtId="37" fontId="14" fillId="0" borderId="17" xfId="0" applyNumberFormat="1" applyFont="1" applyBorder="1" applyAlignment="1" applyProtection="1">
      <alignment horizontal="center" wrapText="1"/>
    </xf>
    <xf numFmtId="37" fontId="14" fillId="0" borderId="19" xfId="0" applyNumberFormat="1" applyFont="1" applyBorder="1" applyAlignment="1" applyProtection="1">
      <alignment horizontal="right"/>
    </xf>
    <xf numFmtId="37" fontId="14" fillId="0" borderId="20" xfId="0" applyNumberFormat="1" applyFont="1" applyBorder="1" applyAlignment="1" applyProtection="1">
      <alignment horizontal="center" wrapText="1"/>
    </xf>
    <xf numFmtId="37" fontId="13" fillId="0" borderId="13" xfId="0" applyNumberFormat="1" applyFont="1" applyBorder="1" applyAlignment="1" applyProtection="1">
      <alignment horizontal="centerContinuous"/>
    </xf>
    <xf numFmtId="37" fontId="8" fillId="0" borderId="0" xfId="0" applyNumberFormat="1" applyFont="1" applyBorder="1" applyAlignment="1" applyProtection="1">
      <alignment horizontal="centerContinuous"/>
    </xf>
    <xf numFmtId="37" fontId="13" fillId="0" borderId="17" xfId="0" applyNumberFormat="1" applyFont="1" applyBorder="1" applyProtection="1"/>
    <xf numFmtId="37" fontId="14" fillId="0" borderId="14" xfId="0" applyNumberFormat="1" applyFont="1" applyBorder="1" applyAlignment="1" applyProtection="1">
      <alignment horizontal="centerContinuous"/>
    </xf>
    <xf numFmtId="37" fontId="14" fillId="0" borderId="14" xfId="0" applyNumberFormat="1" applyFont="1" applyBorder="1" applyAlignment="1" applyProtection="1">
      <alignment horizontal="centerContinuous" wrapText="1"/>
    </xf>
    <xf numFmtId="37" fontId="14" fillId="0" borderId="21" xfId="0" applyNumberFormat="1" applyFont="1" applyBorder="1" applyAlignment="1" applyProtection="1">
      <alignment horizontal="centerContinuous"/>
    </xf>
    <xf numFmtId="37" fontId="5" fillId="0" borderId="0" xfId="0" quotePrefix="1" applyNumberFormat="1" applyFont="1" applyBorder="1" applyAlignment="1">
      <alignment horizontal="right"/>
    </xf>
    <xf numFmtId="3" fontId="5" fillId="2" borderId="0" xfId="0" applyFont="1" applyFill="1"/>
    <xf numFmtId="37" fontId="14" fillId="2" borderId="14" xfId="0" applyNumberFormat="1" applyFont="1" applyFill="1" applyBorder="1" applyAlignment="1" applyProtection="1">
      <alignment horizontal="centerContinuous"/>
    </xf>
    <xf numFmtId="37" fontId="14" fillId="2" borderId="14" xfId="0" applyNumberFormat="1" applyFont="1" applyFill="1" applyBorder="1" applyAlignment="1" applyProtection="1">
      <alignment horizontal="centerContinuous" wrapText="1"/>
    </xf>
    <xf numFmtId="168" fontId="5" fillId="2" borderId="0" xfId="12" applyNumberFormat="1" applyFont="1" applyFill="1"/>
    <xf numFmtId="3" fontId="5" fillId="0" borderId="0" xfId="9" applyFont="1" applyFill="1" applyBorder="1" applyAlignment="1">
      <alignment horizontal="center"/>
    </xf>
    <xf numFmtId="3" fontId="5" fillId="0" borderId="0" xfId="0" applyFont="1" applyFill="1" applyBorder="1"/>
    <xf numFmtId="37" fontId="14" fillId="0" borderId="0" xfId="0" applyNumberFormat="1" applyFont="1" applyBorder="1" applyAlignment="1" applyProtection="1">
      <alignment horizontal="centerContinuous" wrapText="1"/>
    </xf>
    <xf numFmtId="3" fontId="5" fillId="0" borderId="0" xfId="0" applyFont="1" applyAlignment="1">
      <alignment vertical="center"/>
    </xf>
    <xf numFmtId="3" fontId="5" fillId="0" borderId="6" xfId="0" applyFont="1" applyBorder="1"/>
    <xf numFmtId="3" fontId="5" fillId="2" borderId="15" xfId="8" applyNumberFormat="1" applyFont="1" applyFill="1" applyBorder="1" applyAlignment="1"/>
    <xf numFmtId="3" fontId="17" fillId="3" borderId="0" xfId="8" applyNumberFormat="1" applyFont="1" applyFill="1" applyBorder="1" applyAlignment="1"/>
    <xf numFmtId="39" fontId="7" fillId="0" borderId="0" xfId="0" applyNumberFormat="1" applyFont="1" applyAlignment="1" applyProtection="1">
      <alignment horizontal="left"/>
    </xf>
    <xf numFmtId="3" fontId="5" fillId="2" borderId="4" xfId="0" applyFont="1" applyFill="1" applyBorder="1"/>
    <xf numFmtId="37" fontId="14" fillId="2" borderId="22" xfId="0" applyNumberFormat="1" applyFont="1" applyFill="1" applyBorder="1" applyAlignment="1" applyProtection="1">
      <alignment horizontal="centerContinuous" wrapText="1"/>
    </xf>
    <xf numFmtId="3" fontId="5" fillId="4" borderId="0" xfId="0" applyFont="1" applyFill="1" applyAlignment="1">
      <alignment vertical="center"/>
    </xf>
    <xf numFmtId="3" fontId="5" fillId="4" borderId="15" xfId="0" applyFont="1" applyFill="1" applyBorder="1" applyAlignment="1">
      <alignment vertical="center"/>
    </xf>
    <xf numFmtId="3" fontId="5" fillId="0" borderId="23" xfId="0" applyFont="1" applyFill="1" applyBorder="1"/>
    <xf numFmtId="3" fontId="5" fillId="0" borderId="3" xfId="0" applyFont="1" applyFill="1" applyBorder="1"/>
    <xf numFmtId="3" fontId="5" fillId="0" borderId="3" xfId="0" applyFont="1" applyFill="1" applyBorder="1" applyAlignment="1"/>
    <xf numFmtId="37" fontId="5" fillId="5" borderId="0" xfId="8" applyNumberFormat="1" applyFont="1" applyFill="1" applyBorder="1" applyAlignment="1" applyProtection="1">
      <alignment horizontal="center"/>
    </xf>
    <xf numFmtId="3" fontId="5" fillId="5" borderId="0" xfId="8" applyNumberFormat="1" applyFont="1" applyFill="1" applyBorder="1" applyAlignment="1"/>
    <xf numFmtId="3" fontId="5" fillId="6" borderId="0" xfId="8" applyFont="1" applyFill="1" applyBorder="1" applyAlignment="1"/>
    <xf numFmtId="3" fontId="5" fillId="6" borderId="0" xfId="8" applyFont="1" applyFill="1" applyBorder="1" applyAlignment="1" applyProtection="1"/>
    <xf numFmtId="3" fontId="5" fillId="8" borderId="0" xfId="8" applyFont="1" applyFill="1" applyBorder="1" applyAlignment="1"/>
    <xf numFmtId="3" fontId="5" fillId="0" borderId="0" xfId="8" applyFont="1" applyFill="1" applyBorder="1" applyAlignment="1"/>
    <xf numFmtId="3" fontId="5" fillId="8" borderId="0" xfId="8" applyFont="1" applyFill="1" applyBorder="1" applyAlignment="1" applyProtection="1"/>
    <xf numFmtId="164" fontId="5" fillId="8" borderId="0" xfId="6" applyFont="1" applyFill="1" applyBorder="1" applyAlignment="1"/>
    <xf numFmtId="1" fontId="5" fillId="9" borderId="0" xfId="11" applyNumberFormat="1" applyFont="1" applyFill="1" applyBorder="1" applyAlignment="1" applyProtection="1">
      <alignment horizontal="center"/>
    </xf>
    <xf numFmtId="1" fontId="5" fillId="7" borderId="0" xfId="11" applyNumberFormat="1" applyFont="1" applyFill="1" applyBorder="1" applyAlignment="1" applyProtection="1">
      <alignment horizontal="center"/>
    </xf>
    <xf numFmtId="168" fontId="5" fillId="2" borderId="16" xfId="12" applyNumberFormat="1" applyFont="1" applyFill="1" applyBorder="1"/>
    <xf numFmtId="168" fontId="5" fillId="2" borderId="3" xfId="12" applyNumberFormat="1" applyFont="1" applyFill="1" applyBorder="1"/>
    <xf numFmtId="165" fontId="5" fillId="2" borderId="24" xfId="1" applyNumberFormat="1" applyFont="1" applyFill="1" applyBorder="1"/>
    <xf numFmtId="165" fontId="5" fillId="2" borderId="4" xfId="1" applyNumberFormat="1" applyFont="1" applyFill="1" applyBorder="1"/>
    <xf numFmtId="165" fontId="5" fillId="2" borderId="5" xfId="1" applyNumberFormat="1" applyFont="1" applyFill="1" applyBorder="1"/>
    <xf numFmtId="3" fontId="4" fillId="0" borderId="13" xfId="0" applyFont="1" applyFill="1" applyBorder="1" applyAlignment="1">
      <alignment horizontal="centerContinuous"/>
    </xf>
    <xf numFmtId="3" fontId="5" fillId="0" borderId="11" xfId="0" applyFont="1" applyFill="1" applyBorder="1" applyAlignment="1">
      <alignment horizontal="centerContinuous"/>
    </xf>
    <xf numFmtId="37" fontId="14" fillId="0" borderId="17" xfId="0" applyNumberFormat="1" applyFont="1" applyFill="1" applyBorder="1" applyAlignment="1" applyProtection="1">
      <alignment horizontal="right"/>
    </xf>
    <xf numFmtId="37" fontId="14" fillId="0" borderId="11" xfId="0" applyNumberFormat="1" applyFont="1" applyFill="1" applyBorder="1" applyAlignment="1" applyProtection="1">
      <alignment horizontal="right"/>
    </xf>
    <xf numFmtId="3" fontId="22" fillId="0" borderId="0" xfId="0" applyFont="1"/>
    <xf numFmtId="168" fontId="5" fillId="0" borderId="0" xfId="12" applyNumberFormat="1" applyFont="1"/>
    <xf numFmtId="3" fontId="5" fillId="4" borderId="3" xfId="0" applyFont="1" applyFill="1" applyBorder="1" applyAlignment="1">
      <alignment vertical="center"/>
    </xf>
    <xf numFmtId="3" fontId="5" fillId="4" borderId="0" xfId="0" applyFont="1" applyFill="1" applyBorder="1" applyAlignment="1">
      <alignment vertical="center"/>
    </xf>
    <xf numFmtId="3" fontId="5" fillId="4" borderId="7" xfId="0" applyFont="1" applyFill="1" applyBorder="1" applyAlignment="1">
      <alignment vertical="center"/>
    </xf>
    <xf numFmtId="3" fontId="5" fillId="4" borderId="0" xfId="0" applyFont="1" applyFill="1"/>
    <xf numFmtId="3" fontId="5" fillId="4" borderId="3" xfId="0" applyFont="1" applyFill="1" applyBorder="1"/>
    <xf numFmtId="3" fontId="19" fillId="0" borderId="0" xfId="0" applyFont="1"/>
    <xf numFmtId="37" fontId="5" fillId="0" borderId="0" xfId="0" applyNumberFormat="1" applyFont="1" applyFill="1" applyBorder="1" applyAlignment="1">
      <alignment horizontal="right"/>
    </xf>
    <xf numFmtId="3" fontId="6" fillId="0" borderId="0" xfId="0" applyFont="1" applyFill="1" applyAlignment="1">
      <alignment horizontal="centerContinuous"/>
    </xf>
    <xf numFmtId="3" fontId="8" fillId="0" borderId="0" xfId="0" applyFont="1" applyFill="1" applyAlignment="1">
      <alignment horizontal="centerContinuous"/>
    </xf>
    <xf numFmtId="3" fontId="5" fillId="0" borderId="0" xfId="0" applyFont="1" applyFill="1" applyAlignment="1">
      <alignment horizontal="centerContinuous"/>
    </xf>
    <xf numFmtId="3" fontId="5" fillId="0" borderId="0" xfId="0" applyNumberFormat="1" applyFont="1" applyFill="1"/>
    <xf numFmtId="3" fontId="4" fillId="0" borderId="13" xfId="0" applyFont="1" applyFill="1" applyBorder="1" applyAlignment="1">
      <alignment horizontal="center"/>
    </xf>
    <xf numFmtId="37" fontId="5" fillId="0" borderId="6" xfId="0" applyNumberFormat="1" applyFont="1" applyFill="1" applyBorder="1" applyAlignment="1">
      <alignment horizontal="right"/>
    </xf>
    <xf numFmtId="37" fontId="8" fillId="0" borderId="0" xfId="0" applyNumberFormat="1" applyFont="1" applyFill="1" applyAlignment="1" applyProtection="1">
      <alignment horizontal="centerContinuous"/>
    </xf>
    <xf numFmtId="37" fontId="14" fillId="0" borderId="13" xfId="0" applyNumberFormat="1" applyFont="1" applyFill="1" applyBorder="1" applyProtection="1"/>
    <xf numFmtId="3" fontId="5" fillId="0" borderId="0" xfId="1" applyNumberFormat="1" applyFont="1" applyFill="1" applyAlignment="1">
      <alignment horizontal="right"/>
    </xf>
    <xf numFmtId="3" fontId="5" fillId="0" borderId="0" xfId="1" applyNumberFormat="1" applyFont="1" applyFill="1" applyBorder="1" applyAlignment="1">
      <alignment horizontal="right"/>
    </xf>
    <xf numFmtId="3" fontId="5" fillId="0" borderId="3" xfId="1" applyNumberFormat="1" applyFont="1" applyFill="1" applyBorder="1" applyAlignment="1">
      <alignment horizontal="right"/>
    </xf>
    <xf numFmtId="37" fontId="12" fillId="0" borderId="0" xfId="0" applyNumberFormat="1" applyFont="1" applyFill="1" applyAlignment="1" applyProtection="1">
      <alignment horizontal="centerContinuous"/>
    </xf>
    <xf numFmtId="37" fontId="5" fillId="0" borderId="3" xfId="0" applyNumberFormat="1" applyFont="1" applyFill="1" applyBorder="1" applyAlignment="1">
      <alignment horizontal="right"/>
    </xf>
    <xf numFmtId="3" fontId="7" fillId="0" borderId="0" xfId="0" applyFont="1" applyFill="1" applyAlignment="1">
      <alignment horizontal="centerContinuous"/>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3" fontId="5" fillId="0" borderId="3" xfId="0" applyNumberFormat="1" applyFont="1" applyFill="1" applyBorder="1" applyAlignment="1">
      <alignment horizontal="right"/>
    </xf>
    <xf numFmtId="37" fontId="14" fillId="0" borderId="14" xfId="0" applyNumberFormat="1" applyFont="1" applyFill="1" applyBorder="1" applyAlignment="1" applyProtection="1">
      <alignment horizontal="center" wrapText="1"/>
    </xf>
    <xf numFmtId="3" fontId="5" fillId="0" borderId="0" xfId="0" applyFont="1" applyFill="1" applyBorder="1" applyAlignment="1">
      <alignment horizontal="right"/>
    </xf>
    <xf numFmtId="37" fontId="14" fillId="0" borderId="0" xfId="0" applyNumberFormat="1" applyFont="1" applyFill="1" applyBorder="1" applyAlignment="1" applyProtection="1">
      <alignment horizontal="right"/>
    </xf>
    <xf numFmtId="3" fontId="9" fillId="0" borderId="0" xfId="0" applyNumberFormat="1" applyFont="1" applyFill="1"/>
    <xf numFmtId="3" fontId="17" fillId="0" borderId="0" xfId="0" applyFont="1" applyFill="1"/>
    <xf numFmtId="3" fontId="5" fillId="4" borderId="16" xfId="0" applyFont="1" applyFill="1" applyBorder="1" applyAlignment="1">
      <alignment vertical="center"/>
    </xf>
    <xf numFmtId="3" fontId="20" fillId="0" borderId="0" xfId="0" applyFont="1"/>
    <xf numFmtId="3" fontId="24" fillId="0" borderId="13" xfId="0" applyFont="1" applyFill="1" applyBorder="1" applyAlignment="1">
      <alignment horizontal="center"/>
    </xf>
    <xf numFmtId="37" fontId="23" fillId="0" borderId="17" xfId="0" applyNumberFormat="1" applyFont="1" applyBorder="1" applyAlignment="1" applyProtection="1">
      <alignment horizontal="right"/>
    </xf>
    <xf numFmtId="37" fontId="23" fillId="0" borderId="11" xfId="0" applyNumberFormat="1" applyFont="1" applyBorder="1" applyAlignment="1" applyProtection="1">
      <alignment horizontal="right"/>
    </xf>
    <xf numFmtId="37" fontId="23" fillId="0" borderId="20" xfId="0" applyNumberFormat="1" applyFont="1" applyFill="1" applyBorder="1" applyAlignment="1" applyProtection="1">
      <alignment horizontal="right"/>
    </xf>
    <xf numFmtId="3" fontId="5" fillId="4" borderId="0" xfId="0" quotePrefix="1" applyFont="1" applyFill="1" applyAlignment="1">
      <alignment vertical="center"/>
    </xf>
    <xf numFmtId="3" fontId="5" fillId="4" borderId="0" xfId="0" quotePrefix="1" applyFont="1" applyFill="1" applyBorder="1" applyAlignment="1">
      <alignment vertical="center"/>
    </xf>
    <xf numFmtId="3" fontId="17" fillId="2" borderId="0" xfId="0" applyFont="1" applyFill="1"/>
    <xf numFmtId="0" fontId="5" fillId="0" borderId="0" xfId="9" applyNumberFormat="1" applyFont="1" applyFill="1" applyBorder="1" applyAlignment="1">
      <alignment horizontal="center"/>
    </xf>
    <xf numFmtId="3" fontId="5" fillId="2" borderId="15" xfId="8" applyNumberFormat="1" applyFont="1" applyFill="1" applyBorder="1" applyAlignment="1">
      <alignment horizontal="center"/>
    </xf>
    <xf numFmtId="3" fontId="17" fillId="0" borderId="4" xfId="8" applyNumberFormat="1" applyFont="1" applyFill="1" applyBorder="1" applyAlignment="1">
      <alignment horizontal="center"/>
    </xf>
    <xf numFmtId="1" fontId="5" fillId="10" borderId="4" xfId="11" applyNumberFormat="1" applyFont="1" applyFill="1" applyBorder="1" applyAlignment="1" applyProtection="1">
      <alignment horizontal="center"/>
    </xf>
    <xf numFmtId="1" fontId="5" fillId="4" borderId="4" xfId="6" applyNumberFormat="1" applyFont="1" applyFill="1" applyBorder="1" applyAlignment="1">
      <alignment horizontal="center"/>
    </xf>
    <xf numFmtId="1" fontId="5" fillId="10" borderId="0" xfId="11" applyNumberFormat="1" applyFont="1" applyFill="1" applyBorder="1" applyAlignment="1" applyProtection="1">
      <alignment horizontal="center"/>
    </xf>
    <xf numFmtId="1" fontId="5" fillId="4" borderId="0" xfId="6" applyNumberFormat="1" applyFont="1" applyFill="1" applyBorder="1" applyAlignment="1">
      <alignment horizontal="center"/>
    </xf>
    <xf numFmtId="3" fontId="5" fillId="4" borderId="0" xfId="8" applyFont="1" applyFill="1" applyBorder="1" applyAlignment="1"/>
    <xf numFmtId="1" fontId="5" fillId="2" borderId="0" xfId="6" applyNumberFormat="1" applyFont="1" applyFill="1" applyBorder="1" applyAlignment="1">
      <alignment horizontal="center"/>
    </xf>
    <xf numFmtId="1" fontId="5" fillId="5" borderId="0" xfId="6" applyNumberFormat="1" applyFont="1" applyFill="1" applyBorder="1" applyAlignment="1">
      <alignment horizontal="center"/>
    </xf>
    <xf numFmtId="164" fontId="5" fillId="2" borderId="0" xfId="6" applyFont="1" applyFill="1" applyBorder="1" applyAlignment="1"/>
    <xf numFmtId="1" fontId="5" fillId="12" borderId="0" xfId="11" applyNumberFormat="1" applyFont="1" applyFill="1" applyBorder="1" applyAlignment="1" applyProtection="1">
      <alignment horizontal="center"/>
    </xf>
    <xf numFmtId="3" fontId="5" fillId="13" borderId="0" xfId="8" applyFont="1" applyFill="1" applyBorder="1" applyAlignment="1"/>
    <xf numFmtId="164" fontId="5" fillId="13" borderId="0" xfId="7" applyFont="1" applyFill="1" applyBorder="1"/>
    <xf numFmtId="1" fontId="5" fillId="14" borderId="4" xfId="11" applyNumberFormat="1" applyFont="1" applyFill="1" applyBorder="1" applyAlignment="1" applyProtection="1">
      <alignment horizontal="center"/>
    </xf>
    <xf numFmtId="1" fontId="5" fillId="13" borderId="4" xfId="6" applyNumberFormat="1" applyFont="1" applyFill="1" applyBorder="1" applyAlignment="1">
      <alignment horizontal="center"/>
    </xf>
    <xf numFmtId="1" fontId="5" fillId="14" borderId="0" xfId="11" applyNumberFormat="1" applyFont="1" applyFill="1" applyBorder="1" applyAlignment="1" applyProtection="1">
      <alignment horizontal="center"/>
    </xf>
    <xf numFmtId="3" fontId="5" fillId="11" borderId="0" xfId="8" applyFont="1" applyFill="1" applyBorder="1" applyAlignment="1" applyProtection="1"/>
    <xf numFmtId="1" fontId="5" fillId="16" borderId="0" xfId="11" applyNumberFormat="1" applyFont="1" applyFill="1" applyBorder="1" applyAlignment="1" applyProtection="1">
      <alignment horizontal="center"/>
    </xf>
    <xf numFmtId="164" fontId="5" fillId="15" borderId="0" xfId="7" applyFont="1" applyFill="1" applyBorder="1"/>
    <xf numFmtId="3" fontId="5" fillId="3" borderId="0" xfId="8" applyFont="1" applyFill="1" applyBorder="1" applyAlignment="1"/>
    <xf numFmtId="3" fontId="5" fillId="17" borderId="0" xfId="8" applyFont="1" applyFill="1" applyBorder="1" applyAlignment="1"/>
    <xf numFmtId="3" fontId="5" fillId="18" borderId="0" xfId="8" applyFont="1" applyFill="1" applyBorder="1" applyAlignment="1"/>
    <xf numFmtId="0" fontId="5" fillId="4" borderId="0" xfId="6" applyNumberFormat="1" applyFont="1" applyFill="1" applyBorder="1" applyAlignment="1">
      <alignment horizontal="center"/>
    </xf>
    <xf numFmtId="0" fontId="5" fillId="13" borderId="0" xfId="8" applyNumberFormat="1" applyFont="1" applyFill="1" applyBorder="1" applyAlignment="1">
      <alignment horizontal="center"/>
    </xf>
    <xf numFmtId="0" fontId="5" fillId="13" borderId="0" xfId="7" applyNumberFormat="1" applyFont="1" applyFill="1" applyBorder="1" applyAlignment="1">
      <alignment horizontal="center"/>
    </xf>
    <xf numFmtId="0" fontId="5" fillId="4" borderId="0" xfId="8" applyNumberFormat="1" applyFont="1" applyFill="1" applyBorder="1" applyAlignment="1">
      <alignment horizontal="center"/>
    </xf>
    <xf numFmtId="0" fontId="5" fillId="4" borderId="0" xfId="7" applyNumberFormat="1" applyFont="1" applyFill="1" applyBorder="1" applyAlignment="1">
      <alignment horizontal="center"/>
    </xf>
    <xf numFmtId="0" fontId="5" fillId="19" borderId="0" xfId="8" applyNumberFormat="1" applyFont="1" applyFill="1" applyBorder="1" applyAlignment="1">
      <alignment horizontal="center"/>
    </xf>
    <xf numFmtId="37" fontId="8" fillId="0" borderId="0" xfId="0" applyNumberFormat="1" applyFont="1" applyAlignment="1" applyProtection="1">
      <alignment horizontal="center"/>
    </xf>
    <xf numFmtId="3" fontId="17" fillId="4" borderId="0" xfId="0" applyFont="1" applyFill="1"/>
    <xf numFmtId="3" fontId="13" fillId="4" borderId="0" xfId="0" applyFont="1" applyFill="1"/>
    <xf numFmtId="37" fontId="14" fillId="4" borderId="13" xfId="0" applyNumberFormat="1" applyFont="1" applyFill="1" applyBorder="1" applyAlignment="1" applyProtection="1">
      <alignment horizontal="centerContinuous"/>
    </xf>
    <xf numFmtId="3" fontId="4" fillId="4" borderId="11" xfId="0" applyFont="1" applyFill="1" applyBorder="1" applyAlignment="1">
      <alignment horizontal="centerContinuous"/>
    </xf>
    <xf numFmtId="37" fontId="14" fillId="4" borderId="25" xfId="0" applyNumberFormat="1" applyFont="1" applyFill="1" applyBorder="1" applyAlignment="1" applyProtection="1">
      <alignment horizontal="centerContinuous"/>
    </xf>
    <xf numFmtId="3" fontId="4" fillId="4" borderId="13" xfId="0" applyFont="1" applyFill="1" applyBorder="1" applyAlignment="1">
      <alignment horizontal="centerContinuous"/>
    </xf>
    <xf numFmtId="3" fontId="5" fillId="4" borderId="13" xfId="0" applyFont="1" applyFill="1" applyBorder="1" applyAlignment="1">
      <alignment horizontal="centerContinuous"/>
    </xf>
    <xf numFmtId="3" fontId="5" fillId="4" borderId="11" xfId="0" applyFont="1" applyFill="1" applyBorder="1" applyAlignment="1">
      <alignment horizontal="centerContinuous"/>
    </xf>
    <xf numFmtId="37" fontId="14" fillId="4" borderId="17" xfId="0" applyNumberFormat="1" applyFont="1" applyFill="1" applyBorder="1" applyAlignment="1" applyProtection="1">
      <alignment horizontal="center" wrapText="1"/>
    </xf>
    <xf numFmtId="37" fontId="14" fillId="4" borderId="17" xfId="0" applyNumberFormat="1" applyFont="1" applyFill="1" applyBorder="1" applyAlignment="1" applyProtection="1">
      <alignment horizontal="right"/>
    </xf>
    <xf numFmtId="37" fontId="14" fillId="4" borderId="26" xfId="0" applyNumberFormat="1" applyFont="1" applyFill="1" applyBorder="1" applyAlignment="1" applyProtection="1">
      <alignment horizontal="center" wrapText="1"/>
    </xf>
    <xf numFmtId="37" fontId="14" fillId="4" borderId="11" xfId="0" applyNumberFormat="1" applyFont="1" applyFill="1" applyBorder="1" applyAlignment="1" applyProtection="1">
      <alignment horizontal="right"/>
    </xf>
    <xf numFmtId="3" fontId="5" fillId="4" borderId="0" xfId="0" applyFont="1" applyFill="1" applyBorder="1"/>
    <xf numFmtId="3" fontId="20" fillId="0" borderId="0" xfId="0" applyFont="1" applyFill="1"/>
    <xf numFmtId="37" fontId="23" fillId="0" borderId="13" xfId="0" applyNumberFormat="1" applyFont="1" applyFill="1" applyBorder="1" applyAlignment="1" applyProtection="1">
      <alignment horizontal="centerContinuous"/>
    </xf>
    <xf numFmtId="3" fontId="24" fillId="0" borderId="11" xfId="0" applyFont="1" applyFill="1" applyBorder="1" applyAlignment="1">
      <alignment horizontal="centerContinuous"/>
    </xf>
    <xf numFmtId="37" fontId="23" fillId="0" borderId="25" xfId="0" applyNumberFormat="1" applyFont="1" applyFill="1" applyBorder="1" applyAlignment="1" applyProtection="1">
      <alignment horizontal="centerContinuous"/>
    </xf>
    <xf numFmtId="3" fontId="24" fillId="0" borderId="13" xfId="0" applyFont="1" applyFill="1" applyBorder="1" applyAlignment="1">
      <alignment horizontal="centerContinuous"/>
    </xf>
    <xf numFmtId="3" fontId="20" fillId="0" borderId="13" xfId="0" applyFont="1" applyFill="1" applyBorder="1" applyAlignment="1">
      <alignment horizontal="centerContinuous"/>
    </xf>
    <xf numFmtId="3" fontId="20" fillId="0" borderId="11" xfId="0" applyFont="1" applyFill="1" applyBorder="1" applyAlignment="1">
      <alignment horizontal="centerContinuous"/>
    </xf>
    <xf numFmtId="37" fontId="23" fillId="0" borderId="17" xfId="0" applyNumberFormat="1" applyFont="1" applyFill="1" applyBorder="1" applyAlignment="1" applyProtection="1">
      <alignment horizontal="center" wrapText="1"/>
    </xf>
    <xf numFmtId="37" fontId="23" fillId="0" borderId="17" xfId="0" applyNumberFormat="1" applyFont="1" applyFill="1" applyBorder="1" applyAlignment="1" applyProtection="1">
      <alignment horizontal="right"/>
    </xf>
    <xf numFmtId="37" fontId="23" fillId="0" borderId="26" xfId="0" applyNumberFormat="1" applyFont="1" applyFill="1" applyBorder="1" applyAlignment="1" applyProtection="1">
      <alignment horizontal="center" wrapText="1"/>
    </xf>
    <xf numFmtId="37" fontId="23" fillId="0" borderId="11" xfId="0" applyNumberFormat="1" applyFont="1" applyFill="1" applyBorder="1" applyAlignment="1" applyProtection="1">
      <alignment horizontal="right"/>
    </xf>
    <xf numFmtId="3" fontId="20" fillId="0" borderId="3" xfId="0" applyFont="1" applyFill="1" applyBorder="1"/>
    <xf numFmtId="3" fontId="20" fillId="0" borderId="0" xfId="0" applyNumberFormat="1" applyFont="1" applyAlignment="1">
      <alignment horizontal="right"/>
    </xf>
    <xf numFmtId="3" fontId="20" fillId="0" borderId="4" xfId="0" applyNumberFormat="1" applyFont="1" applyBorder="1" applyAlignment="1">
      <alignment horizontal="right"/>
    </xf>
    <xf numFmtId="3" fontId="20" fillId="0" borderId="0" xfId="0" applyNumberFormat="1" applyFont="1" applyFill="1" applyAlignment="1">
      <alignment horizontal="right"/>
    </xf>
    <xf numFmtId="3" fontId="20" fillId="0" borderId="0" xfId="0" applyNumberFormat="1" applyFont="1" applyBorder="1" applyAlignment="1">
      <alignment horizontal="right"/>
    </xf>
    <xf numFmtId="3" fontId="20" fillId="0" borderId="7" xfId="0" applyFont="1" applyBorder="1"/>
    <xf numFmtId="3" fontId="20" fillId="0" borderId="0" xfId="0" applyNumberFormat="1" applyFont="1" applyFill="1" applyBorder="1" applyAlignment="1">
      <alignment horizontal="right"/>
    </xf>
    <xf numFmtId="3" fontId="20" fillId="0" borderId="3" xfId="0" applyNumberFormat="1" applyFont="1" applyBorder="1" applyAlignment="1">
      <alignment horizontal="right"/>
    </xf>
    <xf numFmtId="3" fontId="20" fillId="0" borderId="3" xfId="0" applyNumberFormat="1" applyFont="1" applyFill="1" applyBorder="1" applyAlignment="1">
      <alignment horizontal="right"/>
    </xf>
    <xf numFmtId="3" fontId="13" fillId="20" borderId="0" xfId="9" applyFont="1" applyFill="1" applyBorder="1" applyAlignment="1">
      <alignment horizontal="center"/>
    </xf>
    <xf numFmtId="0" fontId="13" fillId="20" borderId="0" xfId="9" applyNumberFormat="1" applyFont="1" applyFill="1" applyBorder="1" applyAlignment="1" applyProtection="1">
      <alignment horizontal="center"/>
    </xf>
    <xf numFmtId="3" fontId="5" fillId="0" borderId="14" xfId="9" applyFont="1" applyFill="1" applyBorder="1" applyAlignment="1">
      <alignment horizontal="center"/>
    </xf>
    <xf numFmtId="1" fontId="18" fillId="0" borderId="0" xfId="5" applyNumberFormat="1" applyFont="1" applyFill="1" applyBorder="1" applyAlignment="1">
      <alignment horizontal="left" wrapText="1"/>
    </xf>
    <xf numFmtId="0" fontId="5" fillId="0" borderId="14" xfId="9" applyNumberFormat="1" applyFont="1" applyFill="1" applyBorder="1" applyAlignment="1" applyProtection="1">
      <alignment horizontal="center"/>
    </xf>
    <xf numFmtId="3" fontId="5" fillId="0" borderId="14" xfId="9" applyFont="1" applyFill="1" applyBorder="1" applyAlignment="1" applyProtection="1">
      <alignment horizontal="center"/>
    </xf>
    <xf numFmtId="37" fontId="5" fillId="2" borderId="14" xfId="9" applyNumberFormat="1" applyFont="1" applyFill="1" applyBorder="1" applyAlignment="1" applyProtection="1">
      <alignment horizontal="center"/>
    </xf>
    <xf numFmtId="37" fontId="17" fillId="0" borderId="14" xfId="9" applyNumberFormat="1" applyFont="1" applyFill="1" applyBorder="1" applyAlignment="1" applyProtection="1">
      <alignment horizontal="center"/>
    </xf>
    <xf numFmtId="3" fontId="13" fillId="0" borderId="21" xfId="9" applyFont="1" applyFill="1" applyBorder="1"/>
    <xf numFmtId="37" fontId="17" fillId="3" borderId="6" xfId="9" applyNumberFormat="1" applyFont="1" applyFill="1" applyBorder="1" applyAlignment="1" applyProtection="1">
      <alignment horizontal="left"/>
    </xf>
    <xf numFmtId="37" fontId="17" fillId="3" borderId="14" xfId="9" applyNumberFormat="1" applyFont="1" applyFill="1" applyBorder="1" applyAlignment="1" applyProtection="1">
      <alignment horizontal="left"/>
    </xf>
    <xf numFmtId="37" fontId="17" fillId="3" borderId="27" xfId="9" applyNumberFormat="1" applyFont="1" applyFill="1" applyBorder="1" applyAlignment="1" applyProtection="1">
      <alignment horizontal="left"/>
    </xf>
    <xf numFmtId="37" fontId="18" fillId="3" borderId="14" xfId="9" applyNumberFormat="1" applyFont="1" applyFill="1" applyBorder="1" applyAlignment="1" applyProtection="1">
      <alignment horizontal="centerContinuous"/>
    </xf>
    <xf numFmtId="0" fontId="5" fillId="20" borderId="6" xfId="9" applyNumberFormat="1" applyFont="1" applyFill="1" applyBorder="1" applyAlignment="1" applyProtection="1">
      <alignment horizontal="center"/>
    </xf>
    <xf numFmtId="3" fontId="13" fillId="20" borderId="4" xfId="9" applyFont="1" applyFill="1" applyBorder="1" applyAlignment="1" applyProtection="1">
      <alignment horizontal="center"/>
    </xf>
    <xf numFmtId="37" fontId="5" fillId="2" borderId="15" xfId="8" applyNumberFormat="1" applyFont="1" applyFill="1" applyBorder="1" applyAlignment="1" applyProtection="1">
      <alignment horizontal="center"/>
    </xf>
    <xf numFmtId="37" fontId="17" fillId="0" borderId="6" xfId="8" applyNumberFormat="1" applyFont="1" applyFill="1" applyBorder="1" applyAlignment="1" applyProtection="1">
      <alignment horizontal="center"/>
    </xf>
    <xf numFmtId="37" fontId="5" fillId="5" borderId="28" xfId="8" applyNumberFormat="1" applyFont="1" applyFill="1" applyBorder="1" applyAlignment="1" applyProtection="1">
      <alignment horizontal="center"/>
    </xf>
    <xf numFmtId="37" fontId="17" fillId="3" borderId="28" xfId="8" applyNumberFormat="1" applyFont="1" applyFill="1" applyBorder="1" applyAlignment="1" applyProtection="1">
      <alignment horizontal="center"/>
    </xf>
    <xf numFmtId="37" fontId="17" fillId="3" borderId="6" xfId="8" applyNumberFormat="1" applyFont="1" applyFill="1" applyBorder="1" applyAlignment="1" applyProtection="1">
      <alignment horizontal="center"/>
    </xf>
    <xf numFmtId="37" fontId="17" fillId="3" borderId="4" xfId="8" applyNumberFormat="1" applyFont="1" applyFill="1" applyBorder="1" applyAlignment="1" applyProtection="1">
      <alignment horizontal="center"/>
    </xf>
    <xf numFmtId="37" fontId="5" fillId="5" borderId="6" xfId="8" applyNumberFormat="1" applyFont="1" applyFill="1" applyBorder="1" applyAlignment="1" applyProtection="1">
      <alignment horizontal="center"/>
    </xf>
    <xf numFmtId="37" fontId="5" fillId="5" borderId="29" xfId="8" applyNumberFormat="1" applyFont="1" applyFill="1" applyBorder="1" applyAlignment="1" applyProtection="1">
      <alignment horizontal="center" wrapText="1"/>
    </xf>
    <xf numFmtId="37" fontId="17" fillId="3" borderId="6" xfId="8" applyNumberFormat="1" applyFont="1" applyFill="1" applyBorder="1" applyAlignment="1" applyProtection="1">
      <alignment horizontal="center" wrapText="1"/>
    </xf>
    <xf numFmtId="0" fontId="13" fillId="20" borderId="3" xfId="9" applyNumberFormat="1" applyFont="1" applyFill="1" applyBorder="1" applyAlignment="1" applyProtection="1">
      <alignment horizontal="left"/>
    </xf>
    <xf numFmtId="0" fontId="13" fillId="20" borderId="3" xfId="9" applyNumberFormat="1" applyFont="1" applyFill="1" applyBorder="1" applyAlignment="1" applyProtection="1">
      <alignment horizontal="center"/>
    </xf>
    <xf numFmtId="0" fontId="13" fillId="20" borderId="5" xfId="9" applyNumberFormat="1" applyFont="1" applyFill="1" applyBorder="1" applyAlignment="1" applyProtection="1">
      <alignment horizontal="center"/>
    </xf>
    <xf numFmtId="0" fontId="5" fillId="2" borderId="16" xfId="9" applyNumberFormat="1" applyFont="1" applyFill="1" applyBorder="1" applyAlignment="1" applyProtection="1">
      <alignment horizontal="center"/>
    </xf>
    <xf numFmtId="0" fontId="17" fillId="0" borderId="5" xfId="9" applyNumberFormat="1" applyFont="1" applyFill="1" applyBorder="1" applyAlignment="1" applyProtection="1">
      <alignment horizontal="center"/>
    </xf>
    <xf numFmtId="0" fontId="5" fillId="2" borderId="16" xfId="8" applyNumberFormat="1" applyFont="1" applyFill="1" applyBorder="1" applyAlignment="1" applyProtection="1">
      <alignment horizontal="center"/>
    </xf>
    <xf numFmtId="0" fontId="17" fillId="0" borderId="3" xfId="8" applyNumberFormat="1" applyFont="1" applyFill="1" applyBorder="1" applyAlignment="1" applyProtection="1">
      <alignment horizontal="center"/>
    </xf>
    <xf numFmtId="0" fontId="5" fillId="5" borderId="16" xfId="8" applyNumberFormat="1" applyFont="1" applyFill="1" applyBorder="1" applyAlignment="1" applyProtection="1">
      <alignment horizontal="center"/>
    </xf>
    <xf numFmtId="0" fontId="5" fillId="5" borderId="5" xfId="8" applyNumberFormat="1" applyFont="1" applyFill="1" applyBorder="1" applyAlignment="1" applyProtection="1">
      <alignment horizontal="center"/>
    </xf>
    <xf numFmtId="0" fontId="17" fillId="3" borderId="16" xfId="8" applyNumberFormat="1" applyFont="1" applyFill="1" applyBorder="1" applyAlignment="1" applyProtection="1">
      <alignment horizontal="center"/>
    </xf>
    <xf numFmtId="0" fontId="17" fillId="3" borderId="3" xfId="8" applyNumberFormat="1" applyFont="1" applyFill="1" applyBorder="1" applyAlignment="1" applyProtection="1">
      <alignment horizontal="center"/>
    </xf>
    <xf numFmtId="0" fontId="5" fillId="5" borderId="3" xfId="8" applyNumberFormat="1" applyFont="1" applyFill="1" applyBorder="1" applyAlignment="1" applyProtection="1">
      <alignment horizontal="center"/>
    </xf>
    <xf numFmtId="0" fontId="17" fillId="3" borderId="5" xfId="8" applyNumberFormat="1" applyFont="1" applyFill="1" applyBorder="1" applyAlignment="1" applyProtection="1">
      <alignment horizontal="center"/>
    </xf>
    <xf numFmtId="0" fontId="5" fillId="5" borderId="30" xfId="8" applyNumberFormat="1" applyFont="1" applyFill="1" applyBorder="1" applyAlignment="1" applyProtection="1">
      <alignment horizontal="center"/>
    </xf>
    <xf numFmtId="3" fontId="5" fillId="21" borderId="0" xfId="5" applyFont="1" applyFill="1" applyBorder="1" applyAlignment="1" applyProtection="1">
      <alignment wrapText="1"/>
    </xf>
    <xf numFmtId="0" fontId="5" fillId="21" borderId="0" xfId="5" applyNumberFormat="1" applyFont="1" applyFill="1" applyBorder="1" applyAlignment="1" applyProtection="1">
      <alignment horizontal="center" wrapText="1"/>
    </xf>
    <xf numFmtId="3" fontId="5" fillId="21" borderId="0" xfId="5" applyFont="1" applyFill="1" applyBorder="1" applyAlignment="1" applyProtection="1">
      <alignment horizontal="center" wrapText="1"/>
    </xf>
    <xf numFmtId="37" fontId="5" fillId="21" borderId="0" xfId="5" applyNumberFormat="1" applyFont="1" applyFill="1" applyBorder="1" applyAlignment="1" applyProtection="1">
      <alignment horizontal="center" wrapText="1"/>
    </xf>
    <xf numFmtId="3" fontId="5" fillId="21" borderId="0" xfId="5" applyFont="1" applyFill="1" applyBorder="1" applyAlignment="1">
      <alignment wrapText="1"/>
    </xf>
    <xf numFmtId="3" fontId="5" fillId="21" borderId="31" xfId="5" applyFont="1" applyFill="1" applyBorder="1" applyAlignment="1">
      <alignment horizontal="center" wrapText="1"/>
    </xf>
    <xf numFmtId="3" fontId="5" fillId="21" borderId="0" xfId="5" applyFont="1" applyFill="1" applyBorder="1" applyAlignment="1">
      <alignment horizontal="center" wrapText="1"/>
    </xf>
    <xf numFmtId="3" fontId="5" fillId="0" borderId="0" xfId="5" applyFont="1" applyFill="1" applyBorder="1" applyAlignment="1">
      <alignment wrapText="1"/>
    </xf>
    <xf numFmtId="3" fontId="5" fillId="5" borderId="15" xfId="8" applyNumberFormat="1" applyFont="1" applyFill="1" applyBorder="1" applyAlignment="1"/>
    <xf numFmtId="3" fontId="17" fillId="3" borderId="15" xfId="8" applyNumberFormat="1" applyFont="1" applyFill="1" applyBorder="1" applyAlignment="1"/>
    <xf numFmtId="3" fontId="5" fillId="5" borderId="15" xfId="8" applyNumberFormat="1" applyFont="1" applyFill="1" applyBorder="1" applyAlignment="1">
      <alignment horizontal="left" indent="1"/>
    </xf>
    <xf numFmtId="3" fontId="5" fillId="5" borderId="31" xfId="8" applyNumberFormat="1" applyFont="1" applyFill="1" applyBorder="1" applyAlignment="1"/>
    <xf numFmtId="3" fontId="5" fillId="0" borderId="0" xfId="5" applyFont="1" applyFill="1" applyBorder="1"/>
    <xf numFmtId="3" fontId="17" fillId="0" borderId="0" xfId="5" applyFont="1" applyFill="1" applyBorder="1"/>
    <xf numFmtId="0" fontId="5" fillId="0" borderId="0" xfId="5" applyNumberFormat="1" applyFont="1" applyFill="1" applyBorder="1" applyAlignment="1">
      <alignment horizontal="center"/>
    </xf>
    <xf numFmtId="3" fontId="5" fillId="0" borderId="0" xfId="5" applyFont="1" applyFill="1" applyBorder="1" applyAlignment="1">
      <alignment horizontal="center"/>
    </xf>
    <xf numFmtId="3" fontId="16" fillId="0" borderId="0" xfId="5" applyFont="1" applyFill="1" applyBorder="1" applyAlignment="1">
      <alignment horizontal="center"/>
    </xf>
    <xf numFmtId="3" fontId="17" fillId="0" borderId="0" xfId="5" applyFont="1" applyFill="1" applyBorder="1" applyAlignment="1">
      <alignment horizontal="center"/>
    </xf>
    <xf numFmtId="3" fontId="16" fillId="0" borderId="0" xfId="5" applyFont="1" applyFill="1" applyBorder="1"/>
    <xf numFmtId="1" fontId="5" fillId="0" borderId="0" xfId="8" applyNumberFormat="1" applyFont="1" applyFill="1" applyBorder="1" applyAlignment="1"/>
    <xf numFmtId="1" fontId="5" fillId="11" borderId="0" xfId="6" applyNumberFormat="1" applyFont="1" applyFill="1" applyBorder="1" applyAlignment="1">
      <alignment horizontal="center"/>
    </xf>
    <xf numFmtId="1" fontId="5" fillId="6" borderId="0" xfId="6" applyNumberFormat="1" applyFont="1" applyFill="1" applyBorder="1" applyAlignment="1">
      <alignment horizontal="center"/>
    </xf>
    <xf numFmtId="1" fontId="5" fillId="13" borderId="0" xfId="6" applyNumberFormat="1" applyFont="1" applyFill="1" applyBorder="1" applyAlignment="1">
      <alignment horizontal="center"/>
    </xf>
    <xf numFmtId="1" fontId="5" fillId="8" borderId="0" xfId="6" applyNumberFormat="1" applyFont="1" applyFill="1" applyBorder="1" applyAlignment="1">
      <alignment horizontal="center"/>
    </xf>
    <xf numFmtId="0" fontId="5" fillId="15" borderId="0" xfId="9" applyNumberFormat="1" applyFont="1" applyFill="1" applyBorder="1" applyAlignment="1"/>
    <xf numFmtId="0" fontId="5" fillId="15" borderId="0" xfId="9" applyNumberFormat="1" applyFont="1" applyFill="1" applyBorder="1" applyAlignment="1">
      <alignment horizontal="center"/>
    </xf>
    <xf numFmtId="1" fontId="5" fillId="15" borderId="4" xfId="6" applyNumberFormat="1" applyFont="1" applyFill="1" applyBorder="1" applyAlignment="1" applyProtection="1">
      <alignment horizontal="center"/>
    </xf>
    <xf numFmtId="49" fontId="5" fillId="6" borderId="0" xfId="6" applyNumberFormat="1" applyFont="1" applyFill="1" applyBorder="1" applyAlignment="1">
      <alignment horizontal="left"/>
    </xf>
    <xf numFmtId="49" fontId="5" fillId="2" borderId="0" xfId="6" applyNumberFormat="1" applyFont="1" applyFill="1" applyBorder="1" applyAlignment="1">
      <alignment horizontal="center"/>
    </xf>
    <xf numFmtId="49" fontId="5" fillId="4" borderId="0" xfId="6" applyNumberFormat="1" applyFont="1" applyFill="1" applyBorder="1" applyAlignment="1">
      <alignment horizontal="left"/>
    </xf>
    <xf numFmtId="49" fontId="5" fillId="4" borderId="0" xfId="6" applyNumberFormat="1" applyFont="1" applyFill="1" applyBorder="1" applyAlignment="1">
      <alignment horizontal="center"/>
    </xf>
    <xf numFmtId="49" fontId="5" fillId="11" borderId="0" xfId="8" applyNumberFormat="1" applyFont="1" applyFill="1" applyBorder="1" applyAlignment="1" applyProtection="1">
      <alignment horizontal="center"/>
    </xf>
    <xf numFmtId="49" fontId="5" fillId="11" borderId="0" xfId="6" applyNumberFormat="1" applyFont="1" applyFill="1" applyBorder="1" applyAlignment="1">
      <alignment horizontal="center"/>
    </xf>
    <xf numFmtId="49" fontId="5" fillId="8" borderId="0" xfId="6" applyNumberFormat="1" applyFont="1" applyFill="1" applyBorder="1" applyAlignment="1">
      <alignment horizontal="left"/>
    </xf>
    <xf numFmtId="49" fontId="5" fillId="8" borderId="0" xfId="8" applyNumberFormat="1" applyFont="1" applyFill="1" applyBorder="1" applyAlignment="1" applyProtection="1">
      <alignment horizontal="center"/>
    </xf>
    <xf numFmtId="49" fontId="5" fillId="2" borderId="0" xfId="7" applyNumberFormat="1" applyFont="1" applyFill="1" applyBorder="1" applyAlignment="1">
      <alignment horizontal="center"/>
    </xf>
    <xf numFmtId="49" fontId="5" fillId="2" borderId="0" xfId="7" applyNumberFormat="1" applyFont="1" applyFill="1" applyBorder="1" applyAlignment="1">
      <alignment horizontal="left"/>
    </xf>
    <xf numFmtId="49" fontId="5" fillId="2" borderId="0" xfId="8" applyNumberFormat="1" applyFont="1" applyFill="1" applyBorder="1" applyAlignment="1">
      <alignment horizontal="center"/>
    </xf>
    <xf numFmtId="49" fontId="5" fillId="2" borderId="0" xfId="8" applyNumberFormat="1" applyFont="1" applyFill="1" applyBorder="1" applyAlignment="1">
      <alignment horizontal="left"/>
    </xf>
    <xf numFmtId="49" fontId="5" fillId="13" borderId="0" xfId="7" applyNumberFormat="1" applyFont="1" applyFill="1" applyBorder="1" applyAlignment="1">
      <alignment horizontal="center"/>
    </xf>
    <xf numFmtId="49" fontId="5" fillId="13" borderId="0" xfId="7" applyNumberFormat="1" applyFont="1" applyFill="1" applyBorder="1" applyAlignment="1">
      <alignment horizontal="left"/>
    </xf>
    <xf numFmtId="49" fontId="5" fillId="15" borderId="0" xfId="7" applyNumberFormat="1" applyFont="1" applyFill="1" applyBorder="1" applyAlignment="1">
      <alignment horizontal="center"/>
    </xf>
    <xf numFmtId="49" fontId="5" fillId="4" borderId="0" xfId="7" applyNumberFormat="1" applyFont="1" applyFill="1" applyBorder="1" applyAlignment="1">
      <alignment horizontal="left"/>
    </xf>
    <xf numFmtId="49" fontId="5" fillId="5" borderId="0" xfId="7" applyNumberFormat="1" applyFont="1" applyFill="1" applyBorder="1" applyAlignment="1">
      <alignment horizontal="left"/>
    </xf>
    <xf numFmtId="49" fontId="5" fillId="8" borderId="0" xfId="8" applyNumberFormat="1" applyFont="1" applyFill="1" applyBorder="1" applyAlignment="1">
      <alignment horizontal="center"/>
    </xf>
    <xf numFmtId="49" fontId="5" fillId="6" borderId="0" xfId="7" applyNumberFormat="1" applyFont="1" applyFill="1" applyBorder="1" applyAlignment="1">
      <alignment horizontal="center"/>
    </xf>
    <xf numFmtId="49" fontId="5" fillId="6" borderId="0" xfId="7" applyNumberFormat="1" applyFont="1" applyFill="1" applyBorder="1" applyAlignment="1">
      <alignment horizontal="left"/>
    </xf>
    <xf numFmtId="49" fontId="5" fillId="6" borderId="0" xfId="8" applyNumberFormat="1" applyFont="1" applyFill="1" applyBorder="1" applyAlignment="1">
      <alignment horizontal="center"/>
    </xf>
    <xf numFmtId="49" fontId="5" fillId="15" borderId="0" xfId="7" applyNumberFormat="1" applyFont="1" applyFill="1" applyBorder="1" applyAlignment="1">
      <alignment horizontal="left"/>
    </xf>
    <xf numFmtId="49" fontId="5" fillId="4" borderId="0" xfId="7" applyNumberFormat="1" applyFont="1" applyFill="1" applyBorder="1" applyAlignment="1">
      <alignment horizontal="center"/>
    </xf>
    <xf numFmtId="49" fontId="5" fillId="5" borderId="0" xfId="10" applyNumberFormat="1" applyFont="1" applyFill="1" applyBorder="1" applyAlignment="1" applyProtection="1">
      <alignment horizontal="left"/>
    </xf>
    <xf numFmtId="1" fontId="5" fillId="15" borderId="0" xfId="6" applyNumberFormat="1" applyFont="1" applyFill="1" applyBorder="1" applyAlignment="1">
      <alignment horizontal="center"/>
    </xf>
    <xf numFmtId="3" fontId="5" fillId="0" borderId="0" xfId="5" applyFont="1" applyBorder="1"/>
    <xf numFmtId="37" fontId="9" fillId="0" borderId="0" xfId="0" applyNumberFormat="1" applyFont="1" applyBorder="1" applyAlignment="1" applyProtection="1">
      <alignment horizontal="left" vertical="top" wrapText="1"/>
    </xf>
    <xf numFmtId="37" fontId="12" fillId="0" borderId="0" xfId="0" applyNumberFormat="1" applyFont="1" applyAlignment="1" applyProtection="1">
      <alignment horizontal="center"/>
    </xf>
    <xf numFmtId="3" fontId="4" fillId="0" borderId="17" xfId="0" applyFont="1" applyFill="1" applyBorder="1" applyAlignment="1">
      <alignment horizontal="center"/>
    </xf>
    <xf numFmtId="37" fontId="14" fillId="0" borderId="14" xfId="0" applyNumberFormat="1" applyFont="1" applyBorder="1" applyAlignment="1" applyProtection="1">
      <alignment horizontal="center" wrapText="1"/>
    </xf>
    <xf numFmtId="168" fontId="5" fillId="0" borderId="0" xfId="12" applyNumberFormat="1" applyFont="1" applyBorder="1" applyAlignment="1">
      <alignment horizontal="right"/>
    </xf>
    <xf numFmtId="168" fontId="5" fillId="0" borderId="3" xfId="12" applyNumberFormat="1" applyFont="1" applyBorder="1" applyAlignment="1">
      <alignment horizontal="right"/>
    </xf>
    <xf numFmtId="49" fontId="0" fillId="0" borderId="0" xfId="0" applyNumberFormat="1" applyFill="1" applyAlignment="1">
      <alignment horizontal="right"/>
    </xf>
    <xf numFmtId="3" fontId="5" fillId="0" borderId="0" xfId="0" applyFont="1" applyFill="1" applyBorder="1" applyAlignment="1">
      <alignment horizontal="centerContinuous"/>
    </xf>
    <xf numFmtId="3" fontId="5" fillId="0" borderId="3" xfId="0" applyNumberFormat="1" applyFont="1" applyBorder="1"/>
    <xf numFmtId="37" fontId="14" fillId="0" borderId="32" xfId="0" applyNumberFormat="1" applyFont="1" applyBorder="1" applyAlignment="1" applyProtection="1">
      <alignment horizontal="right"/>
    </xf>
    <xf numFmtId="3" fontId="5" fillId="0" borderId="15" xfId="0" applyNumberFormat="1" applyFont="1" applyBorder="1" applyAlignment="1">
      <alignment horizontal="right"/>
    </xf>
    <xf numFmtId="3" fontId="5" fillId="0" borderId="16" xfId="0" applyNumberFormat="1" applyFont="1" applyBorder="1" applyAlignment="1">
      <alignment horizontal="right"/>
    </xf>
    <xf numFmtId="3" fontId="5" fillId="0" borderId="15" xfId="0" applyNumberFormat="1" applyFont="1" applyFill="1" applyBorder="1" applyAlignment="1">
      <alignment horizontal="right"/>
    </xf>
    <xf numFmtId="3" fontId="5" fillId="0" borderId="16" xfId="0" applyNumberFormat="1" applyFont="1" applyFill="1" applyBorder="1" applyAlignment="1">
      <alignment horizontal="right"/>
    </xf>
    <xf numFmtId="37" fontId="12" fillId="0" borderId="0" xfId="0" applyNumberFormat="1" applyFont="1" applyFill="1" applyAlignment="1" applyProtection="1">
      <alignment horizontal="center"/>
    </xf>
    <xf numFmtId="37" fontId="12" fillId="0" borderId="0" xfId="0" applyNumberFormat="1" applyFont="1" applyFill="1" applyBorder="1" applyAlignment="1" applyProtection="1">
      <alignment horizontal="center"/>
    </xf>
    <xf numFmtId="37" fontId="23" fillId="0" borderId="11" xfId="0" applyNumberFormat="1" applyFont="1" applyBorder="1" applyAlignment="1" applyProtection="1">
      <alignment horizontal="center"/>
    </xf>
    <xf numFmtId="3" fontId="24" fillId="0" borderId="11" xfId="0" applyFont="1" applyBorder="1" applyAlignment="1">
      <alignment horizontal="center"/>
    </xf>
    <xf numFmtId="3" fontId="5" fillId="0" borderId="18" xfId="0" applyFont="1" applyBorder="1"/>
    <xf numFmtId="3" fontId="26" fillId="0" borderId="0" xfId="0" applyFont="1"/>
    <xf numFmtId="3" fontId="5" fillId="0" borderId="7" xfId="0" applyNumberFormat="1" applyFont="1" applyBorder="1"/>
    <xf numFmtId="3" fontId="13" fillId="0" borderId="2" xfId="0" applyFont="1" applyBorder="1"/>
    <xf numFmtId="3" fontId="5" fillId="0" borderId="18" xfId="0" applyNumberFormat="1" applyFont="1" applyBorder="1"/>
    <xf numFmtId="3" fontId="5" fillId="0" borderId="13" xfId="0" applyNumberFormat="1" applyFont="1" applyBorder="1"/>
    <xf numFmtId="3" fontId="5" fillId="0" borderId="33" xfId="0" applyFont="1" applyBorder="1"/>
    <xf numFmtId="3" fontId="5" fillId="0" borderId="2" xfId="0" applyFont="1" applyBorder="1"/>
    <xf numFmtId="3" fontId="5" fillId="0" borderId="35" xfId="0" applyFont="1" applyBorder="1"/>
    <xf numFmtId="3" fontId="5" fillId="0" borderId="13" xfId="0" applyFont="1" applyBorder="1"/>
    <xf numFmtId="3" fontId="13" fillId="0" borderId="18" xfId="0" applyFont="1" applyBorder="1"/>
    <xf numFmtId="3" fontId="13" fillId="0" borderId="39" xfId="0" applyFont="1" applyBorder="1"/>
    <xf numFmtId="37" fontId="5" fillId="0" borderId="15" xfId="0" applyNumberFormat="1" applyFont="1" applyBorder="1" applyAlignment="1">
      <alignment horizontal="right"/>
    </xf>
    <xf numFmtId="37" fontId="5" fillId="0" borderId="16" xfId="0" applyNumberFormat="1" applyFont="1" applyBorder="1" applyAlignment="1">
      <alignment horizontal="right"/>
    </xf>
    <xf numFmtId="37" fontId="13" fillId="0" borderId="14" xfId="0" applyNumberFormat="1" applyFont="1" applyBorder="1" applyAlignment="1" applyProtection="1">
      <alignment horizontal="center"/>
    </xf>
    <xf numFmtId="37" fontId="14" fillId="0" borderId="17" xfId="0" applyNumberFormat="1" applyFont="1" applyBorder="1" applyAlignment="1" applyProtection="1">
      <alignment horizontal="centerContinuous"/>
    </xf>
    <xf numFmtId="37" fontId="14" fillId="0" borderId="32" xfId="0" applyNumberFormat="1" applyFont="1" applyBorder="1" applyAlignment="1" applyProtection="1">
      <alignment horizontal="centerContinuous"/>
    </xf>
    <xf numFmtId="3" fontId="5" fillId="0" borderId="0" xfId="0" applyNumberFormat="1" applyFont="1" applyFill="1" applyBorder="1"/>
    <xf numFmtId="37" fontId="14" fillId="0" borderId="14" xfId="0" applyNumberFormat="1" applyFont="1" applyFill="1" applyBorder="1" applyAlignment="1" applyProtection="1">
      <alignment horizontal="centerContinuous" wrapText="1"/>
    </xf>
    <xf numFmtId="3" fontId="9" fillId="0" borderId="0" xfId="0" applyNumberFormat="1" applyFont="1" applyFill="1" applyBorder="1"/>
    <xf numFmtId="37" fontId="14" fillId="0" borderId="14" xfId="0" applyNumberFormat="1" applyFont="1" applyBorder="1" applyAlignment="1" applyProtection="1">
      <alignment horizontal="center"/>
    </xf>
    <xf numFmtId="37" fontId="14" fillId="0" borderId="21" xfId="0" applyNumberFormat="1" applyFont="1" applyBorder="1" applyAlignment="1" applyProtection="1">
      <alignment horizontal="center"/>
    </xf>
    <xf numFmtId="37" fontId="8" fillId="0" borderId="0" xfId="0" applyNumberFormat="1" applyFont="1" applyAlignment="1" applyProtection="1">
      <alignment horizontal="left"/>
    </xf>
    <xf numFmtId="3" fontId="5" fillId="0" borderId="0" xfId="0" applyFont="1" applyAlignment="1">
      <alignment horizontal="left"/>
    </xf>
    <xf numFmtId="3" fontId="8" fillId="0" borderId="0" xfId="0" applyFont="1" applyFill="1" applyBorder="1" applyAlignment="1">
      <alignment horizontal="centerContinuous"/>
    </xf>
    <xf numFmtId="37" fontId="8" fillId="0" borderId="0" xfId="0" applyNumberFormat="1" applyFont="1" applyFill="1" applyBorder="1" applyAlignment="1" applyProtection="1">
      <alignment horizontal="center"/>
    </xf>
    <xf numFmtId="37" fontId="9" fillId="0" borderId="0" xfId="0" applyNumberFormat="1" applyFont="1" applyFill="1" applyBorder="1" applyAlignment="1" applyProtection="1">
      <alignment horizontal="left" vertical="top" wrapText="1"/>
    </xf>
    <xf numFmtId="49" fontId="3" fillId="0" borderId="0" xfId="0" quotePrefix="1" applyNumberFormat="1" applyFont="1" applyFill="1" applyBorder="1" applyAlignment="1">
      <alignment horizontal="right"/>
    </xf>
    <xf numFmtId="37" fontId="23" fillId="0" borderId="0" xfId="0" applyNumberFormat="1" applyFont="1" applyFill="1" applyBorder="1" applyAlignment="1" applyProtection="1">
      <alignment horizontal="center" wrapText="1"/>
    </xf>
    <xf numFmtId="37" fontId="23" fillId="0" borderId="0" xfId="0" applyNumberFormat="1" applyFont="1" applyFill="1" applyBorder="1" applyAlignment="1" applyProtection="1">
      <alignment horizontal="right"/>
    </xf>
    <xf numFmtId="37" fontId="14" fillId="4" borderId="0" xfId="0" applyNumberFormat="1" applyFont="1" applyFill="1" applyBorder="1" applyAlignment="1" applyProtection="1">
      <alignment horizontal="center" wrapText="1"/>
    </xf>
    <xf numFmtId="37" fontId="14" fillId="4" borderId="0" xfId="0" applyNumberFormat="1" applyFont="1" applyFill="1" applyBorder="1" applyAlignment="1" applyProtection="1">
      <alignment horizontal="right"/>
    </xf>
    <xf numFmtId="3" fontId="5" fillId="0" borderId="3" xfId="0" applyNumberFormat="1" applyFont="1" applyFill="1" applyBorder="1"/>
    <xf numFmtId="37" fontId="13" fillId="0" borderId="3" xfId="0" applyNumberFormat="1" applyFont="1" applyBorder="1" applyAlignment="1" applyProtection="1">
      <alignment horizontal="center"/>
    </xf>
    <xf numFmtId="37" fontId="14" fillId="0" borderId="3" xfId="0" applyNumberFormat="1" applyFont="1" applyBorder="1" applyAlignment="1" applyProtection="1">
      <alignment horizontal="center" wrapText="1"/>
    </xf>
    <xf numFmtId="37" fontId="14" fillId="0" borderId="16" xfId="0" applyNumberFormat="1" applyFont="1" applyBorder="1" applyAlignment="1" applyProtection="1">
      <alignment horizontal="center" wrapText="1"/>
    </xf>
    <xf numFmtId="37" fontId="14" fillId="0" borderId="21" xfId="0" applyNumberFormat="1" applyFont="1" applyBorder="1" applyAlignment="1" applyProtection="1">
      <alignment horizontal="right"/>
    </xf>
    <xf numFmtId="37" fontId="5" fillId="0" borderId="0" xfId="0" quotePrefix="1" applyNumberFormat="1" applyFont="1" applyAlignment="1">
      <alignment horizontal="right"/>
    </xf>
    <xf numFmtId="37" fontId="5" fillId="0" borderId="15" xfId="0" quotePrefix="1" applyNumberFormat="1" applyFont="1" applyBorder="1" applyAlignment="1">
      <alignment horizontal="right"/>
    </xf>
    <xf numFmtId="37" fontId="5" fillId="0" borderId="0" xfId="0" quotePrefix="1" applyNumberFormat="1" applyFont="1" applyAlignment="1">
      <alignment horizontal="left"/>
    </xf>
    <xf numFmtId="168" fontId="5" fillId="0" borderId="0" xfId="12" applyNumberFormat="1" applyFont="1" applyBorder="1"/>
    <xf numFmtId="10" fontId="5" fillId="0" borderId="0" xfId="12" applyNumberFormat="1" applyFont="1" applyBorder="1" applyAlignment="1">
      <alignment horizontal="right"/>
    </xf>
    <xf numFmtId="168" fontId="5" fillId="0" borderId="3" xfId="12" applyNumberFormat="1" applyFont="1" applyBorder="1"/>
    <xf numFmtId="3" fontId="13" fillId="0" borderId="14" xfId="9" applyFont="1" applyFill="1" applyBorder="1"/>
    <xf numFmtId="3" fontId="26" fillId="0" borderId="0" xfId="0" applyFont="1" applyFill="1" applyBorder="1"/>
    <xf numFmtId="3" fontId="26" fillId="0" borderId="0" xfId="0" applyFont="1" applyFill="1" applyAlignment="1"/>
    <xf numFmtId="3" fontId="26" fillId="0" borderId="4" xfId="0" applyFont="1" applyFill="1" applyBorder="1"/>
    <xf numFmtId="3" fontId="26" fillId="0" borderId="0" xfId="0" applyFont="1" applyFill="1"/>
    <xf numFmtId="3" fontId="26" fillId="0" borderId="9" xfId="0" applyFont="1" applyFill="1" applyBorder="1"/>
    <xf numFmtId="166" fontId="27" fillId="0" borderId="0" xfId="0" applyNumberFormat="1" applyFont="1" applyFill="1" applyBorder="1" applyAlignment="1"/>
    <xf numFmtId="168" fontId="13" fillId="0" borderId="7" xfId="0" applyNumberFormat="1" applyFont="1" applyBorder="1"/>
    <xf numFmtId="168" fontId="13" fillId="0" borderId="0" xfId="0" applyNumberFormat="1" applyFont="1"/>
    <xf numFmtId="3" fontId="13" fillId="2" borderId="15" xfId="0" applyFont="1" applyFill="1" applyBorder="1"/>
    <xf numFmtId="3" fontId="5" fillId="2" borderId="0" xfId="0" applyFont="1" applyFill="1" applyBorder="1"/>
    <xf numFmtId="37" fontId="14" fillId="2" borderId="21" xfId="0" applyNumberFormat="1" applyFont="1" applyFill="1" applyBorder="1" applyAlignment="1" applyProtection="1">
      <alignment horizontal="centerContinuous"/>
    </xf>
    <xf numFmtId="168" fontId="5" fillId="2" borderId="15" xfId="12" applyNumberFormat="1" applyFont="1" applyFill="1" applyBorder="1"/>
    <xf numFmtId="168" fontId="5" fillId="2" borderId="0" xfId="12" applyNumberFormat="1" applyFont="1" applyFill="1" applyBorder="1"/>
    <xf numFmtId="165" fontId="5" fillId="2" borderId="15" xfId="1" applyNumberFormat="1" applyFont="1" applyFill="1" applyBorder="1"/>
    <xf numFmtId="165" fontId="5" fillId="2" borderId="0" xfId="1" applyNumberFormat="1" applyFont="1" applyFill="1" applyBorder="1"/>
    <xf numFmtId="165" fontId="5" fillId="2" borderId="0" xfId="1" applyNumberFormat="1" applyFont="1" applyFill="1"/>
    <xf numFmtId="165" fontId="19" fillId="2" borderId="0" xfId="1" applyNumberFormat="1" applyFont="1" applyFill="1"/>
    <xf numFmtId="165" fontId="5" fillId="2" borderId="16" xfId="1" applyNumberFormat="1" applyFont="1" applyFill="1" applyBorder="1"/>
    <xf numFmtId="165" fontId="5" fillId="2" borderId="3" xfId="1" applyNumberFormat="1" applyFont="1" applyFill="1" applyBorder="1"/>
    <xf numFmtId="168" fontId="13" fillId="0" borderId="8" xfId="0" applyNumberFormat="1" applyFont="1" applyBorder="1"/>
    <xf numFmtId="168" fontId="13" fillId="0" borderId="3" xfId="0" applyNumberFormat="1" applyFont="1" applyBorder="1"/>
    <xf numFmtId="37" fontId="12" fillId="0" borderId="0" xfId="0" applyNumberFormat="1" applyFont="1" applyAlignment="1" applyProtection="1">
      <alignment horizontal="left"/>
    </xf>
    <xf numFmtId="37" fontId="14" fillId="0" borderId="41" xfId="0" applyNumberFormat="1" applyFont="1" applyFill="1" applyBorder="1" applyAlignment="1" applyProtection="1">
      <alignment horizontal="right"/>
    </xf>
    <xf numFmtId="37" fontId="14" fillId="0" borderId="16" xfId="0" applyNumberFormat="1" applyFont="1" applyFill="1" applyBorder="1" applyAlignment="1" applyProtection="1">
      <alignment horizontal="right"/>
    </xf>
    <xf numFmtId="3" fontId="6" fillId="0" borderId="0" xfId="0" applyFont="1" applyFill="1" applyBorder="1" applyAlignment="1">
      <alignment horizontal="centerContinuous"/>
    </xf>
    <xf numFmtId="3" fontId="22" fillId="0" borderId="0" xfId="0" applyFont="1" applyAlignment="1">
      <alignment horizontal="centerContinuous"/>
    </xf>
    <xf numFmtId="3" fontId="19" fillId="0" borderId="0" xfId="0" applyFont="1" applyAlignment="1">
      <alignment horizontal="centerContinuous"/>
    </xf>
    <xf numFmtId="3" fontId="5" fillId="5" borderId="42" xfId="8" applyNumberFormat="1" applyFont="1" applyFill="1" applyBorder="1" applyAlignment="1"/>
    <xf numFmtId="3" fontId="28" fillId="0" borderId="0" xfId="0" applyFont="1"/>
    <xf numFmtId="37" fontId="14" fillId="0" borderId="17" xfId="0" applyNumberFormat="1" applyFont="1" applyBorder="1" applyAlignment="1" applyProtection="1">
      <alignment horizontal="centerContinuous" wrapText="1"/>
    </xf>
    <xf numFmtId="169" fontId="30" fillId="0" borderId="0" xfId="12" applyNumberFormat="1" applyFont="1" applyFill="1" applyBorder="1" applyAlignment="1">
      <alignment horizontal="center"/>
    </xf>
    <xf numFmtId="2" fontId="30" fillId="0" borderId="0" xfId="12" applyNumberFormat="1" applyFont="1" applyFill="1" applyBorder="1" applyAlignment="1">
      <alignment horizontal="center"/>
    </xf>
    <xf numFmtId="37" fontId="14" fillId="0" borderId="16" xfId="0" applyNumberFormat="1" applyFont="1" applyBorder="1" applyAlignment="1" applyProtection="1">
      <alignment horizontal="centerContinuous" wrapText="1"/>
    </xf>
    <xf numFmtId="3" fontId="29" fillId="4" borderId="0" xfId="0" applyFont="1" applyFill="1" applyAlignment="1">
      <alignment vertical="center"/>
    </xf>
    <xf numFmtId="3" fontId="13" fillId="0" borderId="3" xfId="0" applyFont="1" applyBorder="1"/>
    <xf numFmtId="3" fontId="5" fillId="0" borderId="3" xfId="0" applyFont="1" applyBorder="1" applyAlignment="1">
      <alignment horizontal="right" wrapText="1"/>
    </xf>
    <xf numFmtId="3" fontId="5" fillId="0" borderId="21" xfId="0" applyFont="1" applyBorder="1"/>
    <xf numFmtId="3" fontId="5" fillId="0" borderId="16" xfId="0" applyFont="1" applyBorder="1" applyAlignment="1">
      <alignment horizontal="right" wrapText="1"/>
    </xf>
    <xf numFmtId="169" fontId="30" fillId="0" borderId="3" xfId="12" applyNumberFormat="1" applyFont="1" applyFill="1" applyBorder="1" applyAlignment="1">
      <alignment horizontal="center"/>
    </xf>
    <xf numFmtId="168" fontId="5" fillId="0" borderId="15" xfId="12" applyNumberFormat="1" applyFont="1" applyBorder="1"/>
    <xf numFmtId="168" fontId="5" fillId="0" borderId="16" xfId="12" applyNumberFormat="1" applyFont="1" applyBorder="1"/>
    <xf numFmtId="168" fontId="5" fillId="0" borderId="6" xfId="12" applyNumberFormat="1" applyFont="1" applyBorder="1"/>
    <xf numFmtId="2" fontId="30" fillId="0" borderId="3" xfId="12" applyNumberFormat="1" applyFont="1" applyFill="1" applyBorder="1" applyAlignment="1">
      <alignment horizontal="center"/>
    </xf>
    <xf numFmtId="170" fontId="30" fillId="0" borderId="0" xfId="12" applyNumberFormat="1" applyFont="1" applyFill="1" applyBorder="1" applyAlignment="1">
      <alignment horizontal="center"/>
    </xf>
    <xf numFmtId="3" fontId="28" fillId="4" borderId="0" xfId="0" applyFont="1" applyFill="1"/>
    <xf numFmtId="3" fontId="28" fillId="0" borderId="3" xfId="0" applyFont="1" applyBorder="1"/>
    <xf numFmtId="3" fontId="5" fillId="0" borderId="28" xfId="0" applyFont="1" applyBorder="1"/>
    <xf numFmtId="3" fontId="20" fillId="0" borderId="5" xfId="0" applyNumberFormat="1" applyFont="1" applyBorder="1" applyAlignment="1">
      <alignment horizontal="right"/>
    </xf>
    <xf numFmtId="3" fontId="31" fillId="0" borderId="3" xfId="0" applyFont="1" applyBorder="1"/>
    <xf numFmtId="170" fontId="30" fillId="0" borderId="3" xfId="12" applyNumberFormat="1" applyFont="1" applyFill="1" applyBorder="1" applyAlignment="1">
      <alignment horizontal="center"/>
    </xf>
    <xf numFmtId="10" fontId="5" fillId="0" borderId="5" xfId="12" applyNumberFormat="1" applyFont="1" applyBorder="1" applyAlignment="1">
      <alignment horizontal="right"/>
    </xf>
    <xf numFmtId="10" fontId="5" fillId="0" borderId="0" xfId="12" applyNumberFormat="1" applyFont="1" applyBorder="1"/>
    <xf numFmtId="10" fontId="5" fillId="0" borderId="15" xfId="12" applyNumberFormat="1" applyFont="1" applyBorder="1"/>
    <xf numFmtId="3" fontId="33" fillId="0" borderId="0" xfId="0" applyFont="1"/>
    <xf numFmtId="3" fontId="28" fillId="0" borderId="7" xfId="0" applyFont="1" applyBorder="1"/>
    <xf numFmtId="166" fontId="26" fillId="0" borderId="0" xfId="0" applyNumberFormat="1" applyFont="1"/>
    <xf numFmtId="168" fontId="28" fillId="0" borderId="44" xfId="0" applyNumberFormat="1" applyFont="1" applyBorder="1"/>
    <xf numFmtId="3" fontId="31" fillId="0" borderId="18" xfId="0" applyFont="1" applyBorder="1"/>
    <xf numFmtId="3" fontId="31" fillId="0" borderId="33" xfId="0" applyFont="1" applyBorder="1"/>
    <xf numFmtId="3" fontId="31" fillId="0" borderId="36" xfId="0" applyFont="1" applyBorder="1"/>
    <xf numFmtId="3" fontId="31" fillId="0" borderId="13" xfId="0" applyFont="1" applyBorder="1"/>
    <xf numFmtId="3" fontId="31" fillId="0" borderId="2" xfId="0" applyFont="1" applyBorder="1"/>
    <xf numFmtId="3" fontId="31" fillId="0" borderId="37" xfId="0" applyFont="1" applyBorder="1"/>
    <xf numFmtId="168" fontId="31" fillId="0" borderId="0" xfId="12" applyNumberFormat="1" applyFont="1" applyAlignment="1">
      <alignment horizontal="right"/>
    </xf>
    <xf numFmtId="168" fontId="26" fillId="0" borderId="0" xfId="12" applyNumberFormat="1" applyFont="1"/>
    <xf numFmtId="3" fontId="31" fillId="0" borderId="18" xfId="0" applyFont="1" applyFill="1" applyBorder="1"/>
    <xf numFmtId="168" fontId="31" fillId="0" borderId="0" xfId="12" applyNumberFormat="1" applyFont="1" applyFill="1" applyAlignment="1">
      <alignment horizontal="right"/>
    </xf>
    <xf numFmtId="168" fontId="5" fillId="0" borderId="0" xfId="12" applyNumberFormat="1" applyFont="1" applyFill="1"/>
    <xf numFmtId="168" fontId="26" fillId="0" borderId="0" xfId="12" applyNumberFormat="1" applyFont="1" applyFill="1"/>
    <xf numFmtId="37" fontId="5" fillId="5" borderId="28" xfId="8" applyNumberFormat="1" applyFont="1" applyFill="1" applyBorder="1" applyAlignment="1" applyProtection="1">
      <alignment horizontal="center" wrapText="1"/>
    </xf>
    <xf numFmtId="37" fontId="17" fillId="3" borderId="24" xfId="8" applyNumberFormat="1" applyFont="1" applyFill="1" applyBorder="1" applyAlignment="1" applyProtection="1">
      <alignment horizontal="center" wrapText="1"/>
    </xf>
    <xf numFmtId="3" fontId="17" fillId="3" borderId="4" xfId="8" applyNumberFormat="1" applyFont="1" applyFill="1" applyBorder="1" applyAlignment="1"/>
    <xf numFmtId="165" fontId="5" fillId="0" borderId="18" xfId="0" applyNumberFormat="1" applyFont="1" applyFill="1" applyBorder="1" applyAlignment="1"/>
    <xf numFmtId="165" fontId="5" fillId="0" borderId="33" xfId="0" applyNumberFormat="1" applyFont="1" applyFill="1" applyBorder="1" applyAlignment="1"/>
    <xf numFmtId="165" fontId="5" fillId="0" borderId="18" xfId="0" applyNumberFormat="1" applyFont="1" applyFill="1" applyBorder="1"/>
    <xf numFmtId="165" fontId="5" fillId="0" borderId="33" xfId="0" applyNumberFormat="1" applyFont="1" applyFill="1" applyBorder="1"/>
    <xf numFmtId="165" fontId="5" fillId="0" borderId="34" xfId="0" applyNumberFormat="1" applyFont="1" applyFill="1" applyBorder="1"/>
    <xf numFmtId="165" fontId="5" fillId="0" borderId="36" xfId="0" applyNumberFormat="1" applyFont="1" applyFill="1" applyBorder="1"/>
    <xf numFmtId="165" fontId="5" fillId="0" borderId="13" xfId="0" applyNumberFormat="1" applyFont="1" applyFill="1" applyBorder="1"/>
    <xf numFmtId="165" fontId="13" fillId="0" borderId="18" xfId="0" applyNumberFormat="1" applyFont="1" applyFill="1" applyBorder="1" applyAlignment="1"/>
    <xf numFmtId="165" fontId="13" fillId="0" borderId="2" xfId="0" applyNumberFormat="1" applyFont="1" applyFill="1" applyBorder="1" applyAlignment="1"/>
    <xf numFmtId="165" fontId="5" fillId="0" borderId="38" xfId="0" applyNumberFormat="1" applyFont="1" applyFill="1" applyBorder="1"/>
    <xf numFmtId="165" fontId="5" fillId="0" borderId="7" xfId="0" applyNumberFormat="1" applyFont="1" applyFill="1" applyBorder="1"/>
    <xf numFmtId="165" fontId="5" fillId="0" borderId="0" xfId="0" applyNumberFormat="1" applyFont="1" applyFill="1"/>
    <xf numFmtId="166" fontId="13" fillId="0" borderId="38" xfId="0" applyNumberFormat="1" applyFont="1" applyFill="1" applyBorder="1" applyAlignment="1">
      <alignment horizontal="right"/>
    </xf>
    <xf numFmtId="165" fontId="5" fillId="0" borderId="25" xfId="0" applyNumberFormat="1" applyFont="1" applyFill="1" applyBorder="1"/>
    <xf numFmtId="165" fontId="13" fillId="0" borderId="39" xfId="0" applyNumberFormat="1" applyFont="1" applyFill="1" applyBorder="1" applyAlignment="1"/>
    <xf numFmtId="165" fontId="5" fillId="0" borderId="43" xfId="0" applyNumberFormat="1" applyFont="1" applyFill="1" applyBorder="1"/>
    <xf numFmtId="165" fontId="5" fillId="0" borderId="17" xfId="0" applyNumberFormat="1" applyFont="1" applyFill="1" applyBorder="1"/>
    <xf numFmtId="165" fontId="5" fillId="0" borderId="43" xfId="0" applyNumberFormat="1" applyFont="1" applyFill="1" applyBorder="1" applyAlignment="1">
      <alignment horizontal="right"/>
    </xf>
    <xf numFmtId="165" fontId="5" fillId="0" borderId="17" xfId="0" applyNumberFormat="1" applyFont="1" applyFill="1" applyBorder="1" applyAlignment="1">
      <alignment horizontal="right"/>
    </xf>
    <xf numFmtId="37" fontId="17" fillId="3" borderId="22" xfId="9" applyNumberFormat="1" applyFont="1" applyFill="1" applyBorder="1" applyAlignment="1" applyProtection="1">
      <alignment horizontal="left"/>
    </xf>
    <xf numFmtId="165" fontId="17" fillId="0" borderId="14" xfId="1" applyNumberFormat="1" applyFont="1" applyFill="1" applyBorder="1" applyAlignment="1" applyProtection="1">
      <alignment horizontal="center"/>
    </xf>
    <xf numFmtId="37" fontId="5" fillId="2" borderId="15" xfId="9" applyNumberFormat="1" applyFont="1" applyFill="1" applyBorder="1" applyAlignment="1" applyProtection="1">
      <alignment horizontal="center" wrapText="1"/>
    </xf>
    <xf numFmtId="37" fontId="17" fillId="0" borderId="4" xfId="9" applyNumberFormat="1" applyFont="1" applyFill="1" applyBorder="1" applyAlignment="1" applyProtection="1">
      <alignment horizontal="center" wrapText="1"/>
    </xf>
    <xf numFmtId="37" fontId="5" fillId="2" borderId="15" xfId="8" applyNumberFormat="1" applyFont="1" applyFill="1" applyBorder="1" applyAlignment="1" applyProtection="1">
      <alignment horizontal="center" wrapText="1"/>
    </xf>
    <xf numFmtId="37" fontId="17" fillId="0" borderId="6" xfId="8" applyNumberFormat="1" applyFont="1" applyFill="1" applyBorder="1" applyAlignment="1" applyProtection="1">
      <alignment horizontal="center" wrapText="1"/>
    </xf>
    <xf numFmtId="165" fontId="17" fillId="0" borderId="6" xfId="1" applyNumberFormat="1" applyFont="1" applyFill="1" applyBorder="1" applyAlignment="1" applyProtection="1">
      <alignment horizontal="center"/>
    </xf>
    <xf numFmtId="1" fontId="17" fillId="0" borderId="3" xfId="1" applyNumberFormat="1" applyFont="1" applyFill="1" applyBorder="1" applyAlignment="1" applyProtection="1">
      <alignment horizontal="center"/>
    </xf>
    <xf numFmtId="165" fontId="5" fillId="21" borderId="0" xfId="1" applyNumberFormat="1" applyFont="1" applyFill="1" applyBorder="1" applyAlignment="1" applyProtection="1">
      <alignment horizontal="center" wrapText="1"/>
    </xf>
    <xf numFmtId="49" fontId="5" fillId="6" borderId="0" xfId="6" applyNumberFormat="1" applyFont="1" applyFill="1" applyBorder="1" applyAlignment="1">
      <alignment horizontal="center"/>
    </xf>
    <xf numFmtId="3" fontId="5" fillId="0" borderId="15" xfId="8" applyNumberFormat="1" applyFont="1" applyFill="1" applyBorder="1" applyAlignment="1"/>
    <xf numFmtId="49" fontId="5" fillId="6" borderId="0" xfId="10" applyNumberFormat="1" applyFont="1" applyFill="1" applyBorder="1" applyAlignment="1" applyProtection="1">
      <alignment horizontal="center"/>
    </xf>
    <xf numFmtId="49" fontId="5" fillId="2" borderId="0" xfId="6" applyNumberFormat="1" applyFont="1" applyFill="1" applyBorder="1" applyAlignment="1">
      <alignment horizontal="left"/>
    </xf>
    <xf numFmtId="49" fontId="5" fillId="2" borderId="0" xfId="8" applyNumberFormat="1" applyFont="1" applyFill="1" applyBorder="1" applyAlignment="1" applyProtection="1">
      <alignment horizontal="left"/>
    </xf>
    <xf numFmtId="49" fontId="5" fillId="2" borderId="0" xfId="8" applyNumberFormat="1" applyFont="1" applyFill="1" applyBorder="1" applyAlignment="1" applyProtection="1">
      <alignment horizontal="center"/>
    </xf>
    <xf numFmtId="49" fontId="5" fillId="15" borderId="0" xfId="6" applyNumberFormat="1" applyFont="1" applyFill="1" applyBorder="1" applyAlignment="1">
      <alignment horizontal="center"/>
    </xf>
    <xf numFmtId="49" fontId="5" fillId="15" borderId="0" xfId="6" applyNumberFormat="1" applyFont="1" applyFill="1" applyBorder="1" applyAlignment="1">
      <alignment horizontal="left"/>
    </xf>
    <xf numFmtId="0" fontId="35" fillId="15" borderId="0" xfId="9" applyNumberFormat="1" applyFont="1" applyFill="1" applyBorder="1" applyAlignment="1"/>
    <xf numFmtId="49" fontId="35" fillId="15" borderId="0" xfId="6" applyNumberFormat="1" applyFont="1" applyFill="1" applyBorder="1" applyAlignment="1">
      <alignment horizontal="center"/>
    </xf>
    <xf numFmtId="1" fontId="35" fillId="15" borderId="0" xfId="6" applyNumberFormat="1" applyFont="1" applyFill="1" applyBorder="1" applyAlignment="1">
      <alignment horizontal="center"/>
    </xf>
    <xf numFmtId="49" fontId="35" fillId="4" borderId="0" xfId="6" applyNumberFormat="1" applyFont="1" applyFill="1" applyBorder="1" applyAlignment="1">
      <alignment horizontal="left"/>
    </xf>
    <xf numFmtId="49" fontId="35" fillId="4" borderId="0" xfId="6" applyNumberFormat="1" applyFont="1" applyFill="1" applyBorder="1" applyAlignment="1">
      <alignment horizontal="center"/>
    </xf>
    <xf numFmtId="1" fontId="35" fillId="4" borderId="0" xfId="6" applyNumberFormat="1" applyFont="1" applyFill="1" applyBorder="1" applyAlignment="1">
      <alignment horizontal="center"/>
    </xf>
    <xf numFmtId="3" fontId="17" fillId="0" borderId="4" xfId="8" applyFont="1" applyFill="1" applyBorder="1" applyAlignment="1">
      <alignment horizontal="center"/>
    </xf>
    <xf numFmtId="49" fontId="5" fillId="11" borderId="0" xfId="6" applyNumberFormat="1" applyFont="1" applyFill="1" applyBorder="1" applyAlignment="1">
      <alignment horizontal="left"/>
    </xf>
    <xf numFmtId="3" fontId="35" fillId="11" borderId="0" xfId="8" applyFont="1" applyFill="1" applyBorder="1" applyAlignment="1" applyProtection="1"/>
    <xf numFmtId="49" fontId="35" fillId="11" borderId="0" xfId="6" applyNumberFormat="1" applyFont="1" applyFill="1" applyBorder="1" applyAlignment="1">
      <alignment horizontal="center"/>
    </xf>
    <xf numFmtId="1" fontId="35" fillId="11" borderId="0" xfId="6" applyNumberFormat="1" applyFont="1" applyFill="1" applyBorder="1" applyAlignment="1">
      <alignment horizontal="center"/>
    </xf>
    <xf numFmtId="49" fontId="5" fillId="11" borderId="0" xfId="8" applyNumberFormat="1" applyFont="1" applyFill="1" applyBorder="1" applyAlignment="1">
      <alignment horizontal="center"/>
    </xf>
    <xf numFmtId="3" fontId="17" fillId="0" borderId="15" xfId="8" applyNumberFormat="1" applyFont="1" applyFill="1" applyBorder="1" applyAlignment="1">
      <alignment horizontal="center"/>
    </xf>
    <xf numFmtId="49" fontId="5" fillId="8" borderId="0" xfId="6" applyNumberFormat="1" applyFont="1" applyFill="1" applyBorder="1" applyAlignment="1">
      <alignment horizontal="center"/>
    </xf>
    <xf numFmtId="49" fontId="5" fillId="8" borderId="0" xfId="8" applyNumberFormat="1" applyFont="1" applyFill="1" applyBorder="1" applyAlignment="1" applyProtection="1">
      <alignment horizontal="left"/>
    </xf>
    <xf numFmtId="3" fontId="13" fillId="2" borderId="15" xfId="8" applyNumberFormat="1" applyFont="1" applyFill="1" applyBorder="1" applyAlignment="1">
      <alignment horizontal="center"/>
    </xf>
    <xf numFmtId="49" fontId="5" fillId="6" borderId="0" xfId="8" applyNumberFormat="1" applyFont="1" applyFill="1" applyBorder="1" applyAlignment="1" applyProtection="1">
      <alignment horizontal="center"/>
    </xf>
    <xf numFmtId="3" fontId="5" fillId="0" borderId="4" xfId="8" applyNumberFormat="1" applyFont="1" applyFill="1" applyBorder="1" applyAlignment="1">
      <alignment horizontal="center"/>
    </xf>
    <xf numFmtId="3" fontId="5" fillId="0" borderId="15" xfId="16" applyNumberFormat="1" applyBorder="1" applyAlignment="1" applyProtection="1">
      <alignment horizontal="right"/>
      <protection locked="0"/>
    </xf>
    <xf numFmtId="3" fontId="5" fillId="0" borderId="15" xfId="17" applyNumberFormat="1" applyBorder="1" applyAlignment="1" applyProtection="1">
      <alignment horizontal="right"/>
      <protection locked="0"/>
    </xf>
    <xf numFmtId="3" fontId="5" fillId="0" borderId="15" xfId="18" applyNumberFormat="1" applyBorder="1" applyAlignment="1" applyProtection="1">
      <alignment horizontal="right"/>
      <protection locked="0"/>
    </xf>
    <xf numFmtId="3" fontId="5" fillId="22" borderId="15" xfId="8" applyNumberFormat="1" applyFont="1" applyFill="1" applyBorder="1" applyAlignment="1"/>
    <xf numFmtId="3" fontId="5" fillId="0" borderId="15" xfId="19" applyNumberFormat="1" applyBorder="1" applyAlignment="1" applyProtection="1">
      <alignment horizontal="right"/>
      <protection locked="0"/>
    </xf>
    <xf numFmtId="3" fontId="5" fillId="0" borderId="15" xfId="20" applyNumberFormat="1" applyBorder="1" applyAlignment="1" applyProtection="1">
      <alignment horizontal="right"/>
      <protection locked="0"/>
    </xf>
    <xf numFmtId="3" fontId="5" fillId="0" borderId="15" xfId="21" applyNumberFormat="1" applyBorder="1" applyAlignment="1" applyProtection="1">
      <alignment horizontal="right"/>
      <protection locked="0"/>
    </xf>
    <xf numFmtId="3" fontId="36" fillId="2" borderId="15" xfId="8" applyNumberFormat="1" applyFont="1" applyFill="1" applyBorder="1" applyAlignment="1">
      <alignment horizontal="center"/>
    </xf>
    <xf numFmtId="3" fontId="36" fillId="0" borderId="4" xfId="8" applyNumberFormat="1" applyFont="1" applyFill="1" applyBorder="1" applyAlignment="1">
      <alignment horizontal="center"/>
    </xf>
    <xf numFmtId="3" fontId="5" fillId="0" borderId="15" xfId="22" applyNumberFormat="1" applyBorder="1" applyAlignment="1" applyProtection="1">
      <alignment horizontal="right"/>
      <protection locked="0"/>
    </xf>
    <xf numFmtId="3" fontId="5" fillId="0" borderId="15" xfId="23" applyNumberFormat="1" applyBorder="1" applyAlignment="1" applyProtection="1">
      <alignment horizontal="right"/>
      <protection locked="0"/>
    </xf>
    <xf numFmtId="49" fontId="5" fillId="13" borderId="15" xfId="7" applyNumberFormat="1" applyFont="1" applyFill="1" applyBorder="1" applyAlignment="1">
      <alignment horizontal="center"/>
    </xf>
    <xf numFmtId="49" fontId="35" fillId="13" borderId="0" xfId="7" applyNumberFormat="1" applyFont="1" applyFill="1" applyBorder="1" applyAlignment="1">
      <alignment horizontal="left"/>
    </xf>
    <xf numFmtId="49" fontId="35" fillId="13" borderId="0" xfId="7" applyNumberFormat="1" applyFont="1" applyFill="1" applyBorder="1" applyAlignment="1">
      <alignment horizontal="center"/>
    </xf>
    <xf numFmtId="1" fontId="35" fillId="13" borderId="0" xfId="6" applyNumberFormat="1" applyFont="1" applyFill="1" applyBorder="1" applyAlignment="1">
      <alignment horizontal="center"/>
    </xf>
    <xf numFmtId="49" fontId="5" fillId="13" borderId="0" xfId="8" applyNumberFormat="1" applyFont="1" applyFill="1" applyBorder="1" applyAlignment="1">
      <alignment horizontal="left"/>
    </xf>
    <xf numFmtId="49" fontId="5" fillId="13" borderId="15" xfId="8" applyNumberFormat="1" applyFont="1" applyFill="1" applyBorder="1" applyAlignment="1">
      <alignment horizontal="center"/>
    </xf>
    <xf numFmtId="49" fontId="5" fillId="13" borderId="0" xfId="8" applyNumberFormat="1" applyFont="1" applyFill="1" applyBorder="1" applyAlignment="1">
      <alignment horizontal="center"/>
    </xf>
    <xf numFmtId="3" fontId="5" fillId="0" borderId="15" xfId="25" applyNumberFormat="1" applyBorder="1" applyAlignment="1" applyProtection="1">
      <alignment horizontal="right"/>
      <protection locked="0"/>
    </xf>
    <xf numFmtId="3" fontId="5" fillId="0" borderId="15" xfId="26" applyNumberFormat="1" applyBorder="1" applyAlignment="1" applyProtection="1">
      <alignment horizontal="right"/>
      <protection locked="0"/>
    </xf>
    <xf numFmtId="3" fontId="5" fillId="0" borderId="15" xfId="16" applyNumberFormat="1" applyBorder="1"/>
    <xf numFmtId="3" fontId="5" fillId="0" borderId="15" xfId="17" applyNumberFormat="1" applyBorder="1"/>
    <xf numFmtId="3" fontId="5" fillId="0" borderId="15" xfId="27" applyNumberFormat="1" applyBorder="1"/>
    <xf numFmtId="3" fontId="5" fillId="13" borderId="15" xfId="8" applyFont="1" applyFill="1" applyBorder="1" applyAlignment="1"/>
    <xf numFmtId="3" fontId="5" fillId="0" borderId="15" xfId="24" applyNumberFormat="1" applyBorder="1" applyAlignment="1" applyProtection="1">
      <alignment horizontal="right"/>
      <protection locked="0"/>
    </xf>
    <xf numFmtId="49" fontId="5" fillId="15" borderId="15" xfId="7" applyNumberFormat="1" applyFont="1" applyFill="1" applyBorder="1" applyAlignment="1">
      <alignment horizontal="center"/>
    </xf>
    <xf numFmtId="49" fontId="5" fillId="15" borderId="15" xfId="8" applyNumberFormat="1" applyFont="1" applyFill="1" applyBorder="1" applyAlignment="1">
      <alignment horizontal="center"/>
    </xf>
    <xf numFmtId="49" fontId="5" fillId="15" borderId="0" xfId="8" applyNumberFormat="1" applyFont="1" applyFill="1" applyBorder="1" applyAlignment="1">
      <alignment horizontal="center"/>
    </xf>
    <xf numFmtId="49" fontId="5" fillId="4" borderId="15" xfId="7" applyNumberFormat="1" applyFont="1" applyFill="1" applyBorder="1" applyAlignment="1">
      <alignment horizontal="center"/>
    </xf>
    <xf numFmtId="49" fontId="35" fillId="4" borderId="0" xfId="7" applyNumberFormat="1" applyFont="1" applyFill="1" applyBorder="1" applyAlignment="1">
      <alignment horizontal="left"/>
    </xf>
    <xf numFmtId="49" fontId="35" fillId="4" borderId="0" xfId="7" applyNumberFormat="1" applyFont="1" applyFill="1" applyBorder="1" applyAlignment="1">
      <alignment horizontal="center"/>
    </xf>
    <xf numFmtId="49" fontId="5" fillId="5" borderId="15" xfId="7" applyNumberFormat="1" applyFont="1" applyFill="1" applyBorder="1" applyAlignment="1">
      <alignment horizontal="center"/>
    </xf>
    <xf numFmtId="49" fontId="5" fillId="5" borderId="0" xfId="7" applyNumberFormat="1" applyFont="1" applyFill="1" applyBorder="1" applyAlignment="1">
      <alignment horizontal="center"/>
    </xf>
    <xf numFmtId="49" fontId="5" fillId="8" borderId="15" xfId="7" applyNumberFormat="1" applyFont="1" applyFill="1" applyBorder="1" applyAlignment="1">
      <alignment horizontal="center"/>
    </xf>
    <xf numFmtId="49" fontId="5" fillId="8" borderId="0" xfId="7" applyNumberFormat="1" applyFont="1" applyFill="1" applyBorder="1" applyAlignment="1">
      <alignment horizontal="left"/>
    </xf>
    <xf numFmtId="49" fontId="5" fillId="8" borderId="0" xfId="7" applyNumberFormat="1" applyFont="1" applyFill="1" applyBorder="1" applyAlignment="1">
      <alignment horizontal="center"/>
    </xf>
    <xf numFmtId="3" fontId="5" fillId="2" borderId="4" xfId="8" applyNumberFormat="1" applyFont="1" applyFill="1" applyBorder="1" applyAlignment="1">
      <alignment horizontal="center"/>
    </xf>
    <xf numFmtId="49" fontId="5" fillId="8" borderId="15" xfId="8" applyNumberFormat="1" applyFont="1" applyFill="1" applyBorder="1" applyAlignment="1">
      <alignment horizontal="center"/>
    </xf>
    <xf numFmtId="49" fontId="5" fillId="8" borderId="0" xfId="1" applyNumberFormat="1" applyFont="1" applyFill="1" applyBorder="1" applyAlignment="1">
      <alignment horizontal="left"/>
    </xf>
    <xf numFmtId="49" fontId="5" fillId="8" borderId="0" xfId="8" applyNumberFormat="1" applyFont="1" applyFill="1" applyBorder="1" applyAlignment="1">
      <alignment horizontal="left"/>
    </xf>
    <xf numFmtId="49" fontId="5" fillId="6" borderId="15" xfId="7" applyNumberFormat="1" applyFont="1" applyFill="1" applyBorder="1" applyAlignment="1">
      <alignment horizontal="center"/>
    </xf>
    <xf numFmtId="49" fontId="5" fillId="6" borderId="15" xfId="8" applyNumberFormat="1" applyFont="1" applyFill="1" applyBorder="1" applyAlignment="1">
      <alignment horizontal="center"/>
    </xf>
    <xf numFmtId="49" fontId="5" fillId="6" borderId="0" xfId="8" applyNumberFormat="1" applyFont="1" applyFill="1" applyBorder="1" applyAlignment="1">
      <alignment horizontal="left"/>
    </xf>
    <xf numFmtId="49" fontId="5" fillId="2" borderId="15" xfId="7" applyNumberFormat="1" applyFont="1" applyFill="1" applyBorder="1" applyAlignment="1">
      <alignment horizontal="center"/>
    </xf>
    <xf numFmtId="164" fontId="35" fillId="2" borderId="0" xfId="7" applyFont="1" applyFill="1" applyBorder="1"/>
    <xf numFmtId="49" fontId="35" fillId="2" borderId="0" xfId="7" applyNumberFormat="1" applyFont="1" applyFill="1" applyBorder="1" applyAlignment="1">
      <alignment horizontal="center"/>
    </xf>
    <xf numFmtId="1" fontId="35" fillId="2" borderId="0" xfId="6" applyNumberFormat="1" applyFont="1" applyFill="1" applyBorder="1" applyAlignment="1">
      <alignment horizontal="center"/>
    </xf>
    <xf numFmtId="49" fontId="5" fillId="2" borderId="0" xfId="4" applyNumberFormat="1" applyFont="1" applyFill="1" applyBorder="1" applyAlignment="1">
      <alignment horizontal="left"/>
    </xf>
    <xf numFmtId="49" fontId="5" fillId="2" borderId="0" xfId="4" applyNumberFormat="1" applyFont="1" applyFill="1" applyBorder="1" applyAlignment="1">
      <alignment horizontal="center"/>
    </xf>
    <xf numFmtId="49" fontId="35" fillId="2" borderId="0" xfId="28" applyNumberFormat="1" applyFont="1" applyFill="1" applyBorder="1" applyAlignment="1">
      <alignment horizontal="center"/>
    </xf>
    <xf numFmtId="49" fontId="35" fillId="2" borderId="0" xfId="28" applyNumberFormat="1" applyFont="1" applyFill="1" applyBorder="1" applyAlignment="1">
      <alignment horizontal="left"/>
    </xf>
    <xf numFmtId="49" fontId="35" fillId="13" borderId="0" xfId="29" applyNumberFormat="1" applyFont="1" applyFill="1" applyBorder="1" applyAlignment="1">
      <alignment horizontal="left"/>
    </xf>
    <xf numFmtId="49" fontId="35" fillId="13" borderId="0" xfId="29" applyNumberFormat="1" applyFont="1" applyFill="1" applyBorder="1" applyAlignment="1">
      <alignment horizontal="center"/>
    </xf>
    <xf numFmtId="1" fontId="35" fillId="13" borderId="0" xfId="30" applyNumberFormat="1" applyFont="1" applyFill="1" applyBorder="1" applyAlignment="1">
      <alignment horizontal="center"/>
    </xf>
    <xf numFmtId="3" fontId="35" fillId="13" borderId="0" xfId="8" applyFont="1" applyFill="1" applyBorder="1" applyAlignment="1"/>
    <xf numFmtId="49" fontId="5" fillId="13" borderId="0" xfId="29" applyNumberFormat="1" applyFont="1" applyFill="1" applyBorder="1" applyAlignment="1">
      <alignment horizontal="left"/>
    </xf>
    <xf numFmtId="49" fontId="5" fillId="13" borderId="0" xfId="29" applyNumberFormat="1" applyFont="1" applyFill="1" applyBorder="1" applyAlignment="1">
      <alignment horizontal="center"/>
    </xf>
    <xf numFmtId="1" fontId="5" fillId="13" borderId="0" xfId="30" applyNumberFormat="1" applyFont="1" applyFill="1" applyBorder="1" applyAlignment="1">
      <alignment horizontal="center"/>
    </xf>
    <xf numFmtId="49" fontId="35" fillId="15" borderId="0" xfId="7" applyNumberFormat="1" applyFont="1" applyFill="1" applyBorder="1" applyAlignment="1">
      <alignment horizontal="left"/>
    </xf>
    <xf numFmtId="49" fontId="35" fillId="15" borderId="0" xfId="7" applyNumberFormat="1" applyFont="1" applyFill="1" applyBorder="1" applyAlignment="1">
      <alignment horizontal="center"/>
    </xf>
    <xf numFmtId="164" fontId="17" fillId="0" borderId="4" xfId="15" applyFont="1" applyFill="1" applyBorder="1" applyAlignment="1">
      <alignment horizontal="center"/>
    </xf>
    <xf numFmtId="164" fontId="17" fillId="0" borderId="15" xfId="15" applyFont="1" applyFill="1" applyBorder="1" applyAlignment="1">
      <alignment horizontal="center"/>
    </xf>
    <xf numFmtId="49" fontId="5" fillId="4" borderId="0" xfId="10" applyNumberFormat="1" applyFont="1" applyFill="1" applyBorder="1" applyAlignment="1" applyProtection="1">
      <alignment horizontal="left"/>
    </xf>
    <xf numFmtId="3" fontId="35" fillId="4" borderId="0" xfId="8" applyFont="1" applyFill="1" applyBorder="1" applyAlignment="1"/>
    <xf numFmtId="49" fontId="5" fillId="4" borderId="15" xfId="8" applyNumberFormat="1" applyFont="1" applyFill="1" applyBorder="1" applyAlignment="1">
      <alignment horizontal="center"/>
    </xf>
    <xf numFmtId="49" fontId="35" fillId="4" borderId="0" xfId="8" applyNumberFormat="1" applyFont="1" applyFill="1" applyBorder="1" applyAlignment="1">
      <alignment horizontal="center"/>
    </xf>
    <xf numFmtId="1" fontId="35" fillId="10" borderId="0" xfId="11" applyNumberFormat="1" applyFont="1" applyFill="1" applyBorder="1" applyAlignment="1" applyProtection="1">
      <alignment horizontal="center"/>
    </xf>
    <xf numFmtId="3" fontId="5" fillId="4" borderId="15" xfId="8" applyFont="1" applyFill="1" applyBorder="1" applyAlignment="1"/>
    <xf numFmtId="3" fontId="13" fillId="17" borderId="0" xfId="8" applyFont="1" applyFill="1" applyBorder="1" applyAlignment="1"/>
    <xf numFmtId="0" fontId="13" fillId="4" borderId="0" xfId="8" applyNumberFormat="1" applyFont="1" applyFill="1" applyBorder="1" applyAlignment="1">
      <alignment horizontal="center"/>
    </xf>
    <xf numFmtId="1" fontId="13" fillId="10" borderId="4" xfId="11" applyNumberFormat="1" applyFont="1" applyFill="1" applyBorder="1" applyAlignment="1" applyProtection="1">
      <alignment horizontal="center"/>
    </xf>
    <xf numFmtId="3" fontId="37" fillId="2" borderId="15" xfId="8" applyNumberFormat="1" applyFont="1" applyFill="1" applyBorder="1" applyAlignment="1">
      <alignment horizontal="center"/>
    </xf>
    <xf numFmtId="3" fontId="13" fillId="3" borderId="0" xfId="8" applyFont="1" applyFill="1" applyBorder="1" applyAlignment="1"/>
    <xf numFmtId="3" fontId="13" fillId="18" borderId="0" xfId="8" applyFont="1" applyFill="1" applyBorder="1" applyAlignment="1"/>
    <xf numFmtId="1" fontId="13" fillId="10" borderId="0" xfId="11" applyNumberFormat="1" applyFont="1" applyFill="1" applyBorder="1" applyAlignment="1" applyProtection="1">
      <alignment horizontal="center"/>
    </xf>
    <xf numFmtId="3" fontId="5" fillId="19" borderId="15" xfId="8" applyNumberFormat="1" applyFont="1" applyFill="1" applyBorder="1" applyAlignment="1">
      <alignment horizontal="center"/>
    </xf>
    <xf numFmtId="164" fontId="17" fillId="25" borderId="15" xfId="15" applyFont="1" applyFill="1" applyBorder="1" applyAlignment="1">
      <alignment horizontal="center"/>
    </xf>
    <xf numFmtId="49" fontId="35" fillId="5" borderId="0" xfId="7" applyNumberFormat="1" applyFont="1" applyFill="1" applyBorder="1" applyAlignment="1">
      <alignment horizontal="left"/>
    </xf>
    <xf numFmtId="49" fontId="35" fillId="5" borderId="0" xfId="7" applyNumberFormat="1" applyFont="1" applyFill="1" applyBorder="1" applyAlignment="1">
      <alignment horizontal="center"/>
    </xf>
    <xf numFmtId="1" fontId="35" fillId="5" borderId="0" xfId="6" applyNumberFormat="1" applyFont="1" applyFill="1" applyBorder="1" applyAlignment="1">
      <alignment horizontal="center"/>
    </xf>
    <xf numFmtId="164" fontId="35" fillId="5" borderId="0" xfId="7" applyFont="1" applyFill="1" applyBorder="1"/>
    <xf numFmtId="3" fontId="34" fillId="0" borderId="45" xfId="0" applyFont="1" applyBorder="1"/>
    <xf numFmtId="165" fontId="5" fillId="11" borderId="0" xfId="28" applyNumberFormat="1" applyFont="1" applyFill="1" applyBorder="1" applyAlignment="1"/>
    <xf numFmtId="49" fontId="5" fillId="11" borderId="0" xfId="7" applyNumberFormat="1" applyFont="1" applyFill="1" applyBorder="1" applyAlignment="1">
      <alignment horizontal="left"/>
    </xf>
    <xf numFmtId="49" fontId="5" fillId="11" borderId="0" xfId="7" applyNumberFormat="1" applyFont="1" applyFill="1" applyBorder="1" applyAlignment="1">
      <alignment horizontal="center"/>
    </xf>
    <xf numFmtId="1" fontId="5" fillId="11" borderId="4" xfId="6" applyNumberFormat="1" applyFont="1" applyFill="1" applyBorder="1" applyAlignment="1">
      <alignment horizontal="center"/>
    </xf>
    <xf numFmtId="164" fontId="5" fillId="11" borderId="0" xfId="7" applyFont="1" applyFill="1" applyBorder="1"/>
    <xf numFmtId="0" fontId="5" fillId="11" borderId="0" xfId="28" applyNumberFormat="1" applyFont="1" applyFill="1" applyBorder="1" applyAlignment="1">
      <alignment horizontal="center"/>
    </xf>
    <xf numFmtId="165" fontId="13" fillId="11" borderId="0" xfId="28" applyNumberFormat="1" applyFont="1" applyFill="1" applyBorder="1" applyAlignment="1"/>
    <xf numFmtId="0" fontId="13" fillId="11" borderId="0" xfId="28" applyNumberFormat="1" applyFont="1" applyFill="1" applyBorder="1" applyAlignment="1">
      <alignment horizontal="center"/>
    </xf>
    <xf numFmtId="1" fontId="13" fillId="11" borderId="4" xfId="6" applyNumberFormat="1" applyFont="1" applyFill="1" applyBorder="1" applyAlignment="1">
      <alignment horizontal="center"/>
    </xf>
    <xf numFmtId="3" fontId="37" fillId="0" borderId="4" xfId="8" applyNumberFormat="1" applyFont="1" applyFill="1" applyBorder="1" applyAlignment="1">
      <alignment horizontal="center"/>
    </xf>
    <xf numFmtId="3" fontId="37" fillId="0" borderId="0" xfId="5" applyFont="1" applyFill="1" applyBorder="1"/>
    <xf numFmtId="49" fontId="29" fillId="11" borderId="0" xfId="29" applyNumberFormat="1" applyFont="1" applyFill="1" applyBorder="1" applyAlignment="1">
      <alignment horizontal="left"/>
    </xf>
    <xf numFmtId="49" fontId="29" fillId="11" borderId="0" xfId="29" applyNumberFormat="1" applyFont="1" applyFill="1" applyBorder="1" applyAlignment="1">
      <alignment horizontal="center"/>
    </xf>
    <xf numFmtId="1" fontId="29" fillId="11" borderId="0" xfId="30" applyNumberFormat="1" applyFont="1" applyFill="1" applyBorder="1" applyAlignment="1">
      <alignment horizontal="center"/>
    </xf>
    <xf numFmtId="49" fontId="5" fillId="11" borderId="0" xfId="29" applyNumberFormat="1" applyFont="1" applyFill="1" applyBorder="1" applyAlignment="1">
      <alignment horizontal="left"/>
    </xf>
    <xf numFmtId="164" fontId="5" fillId="11" borderId="0" xfId="29" applyFont="1" applyFill="1" applyBorder="1"/>
    <xf numFmtId="1" fontId="29" fillId="11" borderId="4" xfId="30" applyNumberFormat="1" applyFont="1" applyFill="1" applyBorder="1" applyAlignment="1">
      <alignment horizontal="center"/>
    </xf>
    <xf numFmtId="49" fontId="5" fillId="26" borderId="0" xfId="7" applyNumberFormat="1" applyFont="1" applyFill="1" applyBorder="1" applyAlignment="1">
      <alignment horizontal="left"/>
    </xf>
    <xf numFmtId="49" fontId="5" fillId="24" borderId="0" xfId="7" applyNumberFormat="1" applyFont="1" applyFill="1" applyBorder="1" applyAlignment="1">
      <alignment horizontal="left"/>
    </xf>
    <xf numFmtId="49" fontId="5" fillId="27" borderId="0" xfId="7" applyNumberFormat="1" applyFont="1" applyFill="1" applyBorder="1" applyAlignment="1">
      <alignment horizontal="left"/>
    </xf>
    <xf numFmtId="49" fontId="5" fillId="27" borderId="0" xfId="4" applyNumberFormat="1" applyFont="1" applyFill="1" applyBorder="1" applyAlignment="1">
      <alignment horizontal="left"/>
    </xf>
    <xf numFmtId="49" fontId="5" fillId="28" borderId="0" xfId="4" applyNumberFormat="1" applyFont="1" applyFill="1" applyBorder="1" applyAlignment="1">
      <alignment horizontal="left"/>
    </xf>
    <xf numFmtId="49" fontId="13" fillId="26" borderId="0" xfId="7" applyNumberFormat="1" applyFont="1" applyFill="1" applyBorder="1" applyAlignment="1">
      <alignment horizontal="right"/>
    </xf>
    <xf numFmtId="49" fontId="13" fillId="24" borderId="0" xfId="7" applyNumberFormat="1" applyFont="1" applyFill="1" applyBorder="1" applyAlignment="1">
      <alignment horizontal="right"/>
    </xf>
    <xf numFmtId="49" fontId="13" fillId="27" borderId="0" xfId="4" applyNumberFormat="1" applyFont="1" applyFill="1" applyBorder="1" applyAlignment="1">
      <alignment horizontal="right"/>
    </xf>
    <xf numFmtId="49" fontId="13" fillId="28" borderId="0" xfId="4" applyNumberFormat="1" applyFont="1" applyFill="1" applyBorder="1" applyAlignment="1">
      <alignment horizontal="right"/>
    </xf>
    <xf numFmtId="49" fontId="5" fillId="29" borderId="0" xfId="4" applyNumberFormat="1" applyFont="1" applyFill="1" applyBorder="1" applyAlignment="1">
      <alignment horizontal="left"/>
    </xf>
    <xf numFmtId="49" fontId="13" fillId="29" borderId="0" xfId="4" applyNumberFormat="1" applyFont="1" applyFill="1" applyBorder="1" applyAlignment="1">
      <alignment horizontal="right"/>
    </xf>
    <xf numFmtId="168" fontId="28" fillId="0" borderId="6" xfId="0" applyNumberFormat="1" applyFont="1" applyBorder="1"/>
    <xf numFmtId="3" fontId="5" fillId="30" borderId="0" xfId="0" applyFont="1" applyFill="1" applyBorder="1"/>
    <xf numFmtId="165" fontId="5" fillId="0" borderId="18" xfId="0" applyNumberFormat="1" applyFont="1" applyFill="1" applyBorder="1" applyAlignment="1">
      <alignment wrapText="1"/>
    </xf>
    <xf numFmtId="165" fontId="5" fillId="0" borderId="39" xfId="0" applyNumberFormat="1" applyFont="1" applyFill="1" applyBorder="1" applyAlignment="1">
      <alignment wrapText="1"/>
    </xf>
    <xf numFmtId="165" fontId="5" fillId="30" borderId="18" xfId="0" applyNumberFormat="1" applyFont="1" applyFill="1" applyBorder="1"/>
    <xf numFmtId="165" fontId="5" fillId="30" borderId="7" xfId="0" applyNumberFormat="1" applyFont="1" applyFill="1" applyBorder="1"/>
    <xf numFmtId="165" fontId="5" fillId="30" borderId="36" xfId="0" applyNumberFormat="1" applyFont="1" applyFill="1" applyBorder="1"/>
    <xf numFmtId="165" fontId="5" fillId="30" borderId="38" xfId="0" applyNumberFormat="1" applyFont="1" applyFill="1" applyBorder="1"/>
    <xf numFmtId="165" fontId="5" fillId="30" borderId="33" xfId="0" applyNumberFormat="1" applyFont="1" applyFill="1" applyBorder="1"/>
    <xf numFmtId="165" fontId="5" fillId="30" borderId="34" xfId="0" applyNumberFormat="1" applyFont="1" applyFill="1" applyBorder="1"/>
    <xf numFmtId="165" fontId="5" fillId="30" borderId="39" xfId="0" applyNumberFormat="1" applyFont="1" applyFill="1" applyBorder="1"/>
    <xf numFmtId="165" fontId="5" fillId="30" borderId="2" xfId="0" applyNumberFormat="1" applyFont="1" applyFill="1" applyBorder="1"/>
    <xf numFmtId="165" fontId="5" fillId="30" borderId="37" xfId="0" applyNumberFormat="1" applyFont="1" applyFill="1" applyBorder="1"/>
    <xf numFmtId="165" fontId="5" fillId="30" borderId="43" xfId="0" applyNumberFormat="1" applyFont="1" applyFill="1" applyBorder="1"/>
    <xf numFmtId="168" fontId="13" fillId="0" borderId="7" xfId="0" applyNumberFormat="1" applyFont="1" applyFill="1" applyBorder="1" applyAlignment="1">
      <alignment horizontal="right"/>
    </xf>
    <xf numFmtId="168" fontId="13" fillId="0" borderId="0" xfId="0" applyNumberFormat="1" applyFont="1" applyFill="1" applyAlignment="1">
      <alignment horizontal="right"/>
    </xf>
    <xf numFmtId="168" fontId="13" fillId="30" borderId="7" xfId="0" applyNumberFormat="1" applyFont="1" applyFill="1" applyBorder="1" applyAlignment="1">
      <alignment horizontal="right"/>
    </xf>
    <xf numFmtId="168" fontId="13" fillId="30" borderId="38" xfId="0" applyNumberFormat="1" applyFont="1" applyFill="1" applyBorder="1" applyAlignment="1">
      <alignment horizontal="right"/>
    </xf>
    <xf numFmtId="168" fontId="13" fillId="0" borderId="15" xfId="0" applyNumberFormat="1" applyFont="1" applyFill="1" applyBorder="1" applyAlignment="1">
      <alignment horizontal="right"/>
    </xf>
    <xf numFmtId="165" fontId="5" fillId="0" borderId="15" xfId="0" applyNumberFormat="1" applyFont="1" applyFill="1" applyBorder="1"/>
    <xf numFmtId="168" fontId="13" fillId="0" borderId="16" xfId="0" applyNumberFormat="1" applyFont="1" applyFill="1" applyBorder="1" applyAlignment="1">
      <alignment horizontal="right"/>
    </xf>
    <xf numFmtId="166" fontId="13" fillId="0" borderId="40" xfId="0" applyNumberFormat="1" applyFont="1" applyFill="1" applyBorder="1" applyAlignment="1">
      <alignment horizontal="right"/>
    </xf>
    <xf numFmtId="168" fontId="13" fillId="0" borderId="8" xfId="0" applyNumberFormat="1" applyFont="1" applyFill="1" applyBorder="1" applyAlignment="1">
      <alignment horizontal="right"/>
    </xf>
    <xf numFmtId="168" fontId="13" fillId="0" borderId="3" xfId="0" applyNumberFormat="1" applyFont="1" applyFill="1" applyBorder="1" applyAlignment="1">
      <alignment horizontal="right"/>
    </xf>
    <xf numFmtId="168" fontId="13" fillId="30" borderId="8" xfId="0" applyNumberFormat="1" applyFont="1" applyFill="1" applyBorder="1" applyAlignment="1">
      <alignment horizontal="right"/>
    </xf>
    <xf numFmtId="168" fontId="13" fillId="30" borderId="40" xfId="0" applyNumberFormat="1" applyFont="1" applyFill="1" applyBorder="1" applyAlignment="1">
      <alignment horizontal="right"/>
    </xf>
    <xf numFmtId="168" fontId="13" fillId="31" borderId="47" xfId="0" applyNumberFormat="1" applyFont="1" applyFill="1" applyBorder="1" applyAlignment="1">
      <alignment horizontal="right"/>
    </xf>
    <xf numFmtId="3" fontId="34" fillId="0" borderId="48" xfId="0" applyFont="1" applyBorder="1"/>
    <xf numFmtId="3" fontId="34" fillId="0" borderId="49" xfId="0" applyFont="1" applyBorder="1"/>
    <xf numFmtId="3" fontId="28" fillId="0" borderId="8" xfId="0" applyFont="1" applyBorder="1"/>
    <xf numFmtId="168" fontId="28" fillId="0" borderId="50" xfId="0" applyNumberFormat="1" applyFont="1" applyBorder="1"/>
    <xf numFmtId="3" fontId="5" fillId="26" borderId="33" xfId="0" applyFont="1" applyFill="1" applyBorder="1"/>
    <xf numFmtId="3" fontId="5" fillId="26" borderId="18" xfId="0" applyFont="1" applyFill="1" applyBorder="1"/>
    <xf numFmtId="3" fontId="5" fillId="26" borderId="2" xfId="0" applyFont="1" applyFill="1" applyBorder="1"/>
    <xf numFmtId="3" fontId="5" fillId="26" borderId="18" xfId="0" applyNumberFormat="1" applyFont="1" applyFill="1" applyBorder="1"/>
    <xf numFmtId="3" fontId="5" fillId="26" borderId="7" xfId="0" applyNumberFormat="1" applyFont="1" applyFill="1" applyBorder="1"/>
    <xf numFmtId="168" fontId="13" fillId="26" borderId="7" xfId="0" applyNumberFormat="1" applyFont="1" applyFill="1" applyBorder="1"/>
    <xf numFmtId="168" fontId="13" fillId="26" borderId="8" xfId="0" applyNumberFormat="1" applyFont="1" applyFill="1" applyBorder="1"/>
    <xf numFmtId="168" fontId="28" fillId="26" borderId="44" xfId="0" applyNumberFormat="1" applyFont="1" applyFill="1" applyBorder="1"/>
    <xf numFmtId="168" fontId="28" fillId="0" borderId="14" xfId="0" applyNumberFormat="1" applyFont="1" applyBorder="1"/>
    <xf numFmtId="168" fontId="28" fillId="26" borderId="50" xfId="0" applyNumberFormat="1" applyFont="1" applyFill="1" applyBorder="1"/>
    <xf numFmtId="168" fontId="29" fillId="0" borderId="0" xfId="12" quotePrefix="1" applyNumberFormat="1" applyFont="1" applyAlignment="1">
      <alignment horizontal="right"/>
    </xf>
    <xf numFmtId="168" fontId="29" fillId="0" borderId="0" xfId="12" quotePrefix="1" applyNumberFormat="1" applyFont="1" applyFill="1" applyAlignment="1">
      <alignment horizontal="right"/>
    </xf>
    <xf numFmtId="168" fontId="34" fillId="0" borderId="45" xfId="12" quotePrefix="1" applyNumberFormat="1" applyFont="1" applyBorder="1" applyAlignment="1">
      <alignment horizontal="right"/>
    </xf>
    <xf numFmtId="168" fontId="34" fillId="0" borderId="45" xfId="12" quotePrefix="1" applyNumberFormat="1" applyFont="1" applyFill="1" applyBorder="1" applyAlignment="1">
      <alignment horizontal="right"/>
    </xf>
    <xf numFmtId="168" fontId="34" fillId="0" borderId="46" xfId="12" quotePrefix="1" applyNumberFormat="1" applyFont="1" applyBorder="1" applyAlignment="1">
      <alignment horizontal="right"/>
    </xf>
    <xf numFmtId="168" fontId="28" fillId="31" borderId="47" xfId="0" applyNumberFormat="1" applyFont="1" applyFill="1" applyBorder="1"/>
    <xf numFmtId="3" fontId="5" fillId="4" borderId="8" xfId="0" applyFont="1" applyFill="1" applyBorder="1" applyAlignment="1">
      <alignment vertical="center"/>
    </xf>
    <xf numFmtId="168" fontId="5" fillId="0" borderId="0" xfId="12" quotePrefix="1" applyNumberFormat="1" applyFont="1" applyBorder="1" applyAlignment="1">
      <alignment horizontal="right"/>
    </xf>
    <xf numFmtId="168" fontId="42" fillId="0" borderId="0" xfId="12" quotePrefix="1" applyNumberFormat="1" applyFont="1" applyBorder="1" applyAlignment="1">
      <alignment horizontal="right"/>
    </xf>
    <xf numFmtId="168" fontId="42" fillId="0" borderId="0" xfId="12" quotePrefix="1" applyNumberFormat="1" applyFont="1" applyAlignment="1">
      <alignment vertical="center"/>
    </xf>
    <xf numFmtId="3" fontId="42" fillId="0" borderId="15" xfId="0" applyNumberFormat="1" applyFont="1" applyBorder="1" applyAlignment="1">
      <alignment horizontal="right"/>
    </xf>
    <xf numFmtId="168" fontId="42" fillId="0" borderId="0" xfId="12" quotePrefix="1" applyNumberFormat="1" applyFont="1" applyFill="1" applyAlignment="1">
      <alignment vertical="center"/>
    </xf>
    <xf numFmtId="3" fontId="42" fillId="0" borderId="15" xfId="0" applyFont="1" applyBorder="1"/>
    <xf numFmtId="3" fontId="42" fillId="0" borderId="0" xfId="0" applyFont="1"/>
    <xf numFmtId="3" fontId="42" fillId="0" borderId="0" xfId="0" applyNumberFormat="1" applyFont="1" applyAlignment="1">
      <alignment horizontal="right"/>
    </xf>
    <xf numFmtId="3" fontId="42" fillId="0" borderId="15" xfId="0" applyFont="1" applyFill="1" applyBorder="1"/>
    <xf numFmtId="37" fontId="14" fillId="0" borderId="51" xfId="0" applyNumberFormat="1" applyFont="1" applyBorder="1" applyAlignment="1" applyProtection="1">
      <alignment horizontal="center" wrapText="1"/>
    </xf>
    <xf numFmtId="3" fontId="42" fillId="0" borderId="0" xfId="0" applyFont="1" applyBorder="1"/>
    <xf numFmtId="37" fontId="9" fillId="0" borderId="0" xfId="0" applyNumberFormat="1" applyFont="1" applyBorder="1" applyAlignment="1" applyProtection="1">
      <alignment horizontal="left" vertical="top" wrapText="1"/>
    </xf>
    <xf numFmtId="37" fontId="12" fillId="0" borderId="0" xfId="0" applyNumberFormat="1" applyFont="1" applyAlignment="1" applyProtection="1">
      <alignment horizontal="center"/>
    </xf>
    <xf numFmtId="37" fontId="8" fillId="0" borderId="0" xfId="0" applyNumberFormat="1" applyFont="1" applyAlignment="1" applyProtection="1">
      <alignment horizontal="center"/>
    </xf>
    <xf numFmtId="3" fontId="5" fillId="11" borderId="0" xfId="8" applyFont="1" applyFill="1" applyBorder="1" applyAlignment="1"/>
    <xf numFmtId="1" fontId="5" fillId="32" borderId="4" xfId="11" applyNumberFormat="1" applyFont="1" applyFill="1" applyBorder="1" applyAlignment="1" applyProtection="1">
      <alignment horizontal="center"/>
    </xf>
    <xf numFmtId="49" fontId="5" fillId="11" borderId="0" xfId="29" applyNumberFormat="1" applyFont="1" applyFill="1" applyBorder="1" applyAlignment="1">
      <alignment horizontal="center"/>
    </xf>
    <xf numFmtId="171" fontId="5" fillId="0" borderId="0" xfId="0" applyNumberFormat="1" applyFont="1"/>
    <xf numFmtId="3" fontId="20" fillId="0" borderId="4" xfId="8" applyNumberFormat="1" applyFont="1" applyFill="1" applyBorder="1" applyAlignment="1">
      <alignment horizontal="center"/>
    </xf>
    <xf numFmtId="3" fontId="20" fillId="3" borderId="4" xfId="8" applyNumberFormat="1" applyFont="1" applyFill="1" applyBorder="1" applyAlignment="1"/>
    <xf numFmtId="3" fontId="20" fillId="3" borderId="15" xfId="8" applyNumberFormat="1" applyFont="1" applyFill="1" applyBorder="1" applyAlignment="1"/>
    <xf numFmtId="3" fontId="20" fillId="3" borderId="0" xfId="8" applyNumberFormat="1" applyFont="1" applyFill="1" applyBorder="1" applyAlignment="1"/>
    <xf numFmtId="1" fontId="5" fillId="6" borderId="4" xfId="6" applyNumberFormat="1" applyFont="1" applyFill="1" applyBorder="1" applyAlignment="1">
      <alignment horizontal="center"/>
    </xf>
    <xf numFmtId="49" fontId="29" fillId="6" borderId="0" xfId="7" applyNumberFormat="1" applyFont="1" applyFill="1" applyBorder="1" applyAlignment="1">
      <alignment horizontal="left"/>
    </xf>
    <xf numFmtId="49" fontId="29" fillId="6" borderId="0" xfId="7" applyNumberFormat="1" applyFont="1" applyFill="1" applyBorder="1" applyAlignment="1">
      <alignment horizontal="center"/>
    </xf>
    <xf numFmtId="1" fontId="29" fillId="6" borderId="0" xfId="6" applyNumberFormat="1" applyFont="1" applyFill="1" applyBorder="1" applyAlignment="1">
      <alignment horizontal="center"/>
    </xf>
    <xf numFmtId="3" fontId="27" fillId="22" borderId="42" xfId="0" applyNumberFormat="1" applyFont="1" applyFill="1" applyBorder="1"/>
    <xf numFmtId="3" fontId="5" fillId="2" borderId="42" xfId="8" applyNumberFormat="1" applyFont="1" applyFill="1" applyBorder="1" applyAlignment="1"/>
    <xf numFmtId="3" fontId="17" fillId="0" borderId="15" xfId="15" applyNumberFormat="1" applyFont="1" applyFill="1" applyBorder="1" applyAlignment="1">
      <alignment horizontal="right"/>
    </xf>
    <xf numFmtId="3" fontId="17" fillId="22" borderId="15" xfId="15" applyNumberFormat="1" applyFont="1" applyFill="1" applyBorder="1" applyAlignment="1">
      <alignment horizontal="right"/>
    </xf>
    <xf numFmtId="3" fontId="5" fillId="0" borderId="0" xfId="8" applyNumberFormat="1" applyFont="1" applyFill="1" applyBorder="1" applyAlignment="1"/>
    <xf numFmtId="3" fontId="17" fillId="0" borderId="15" xfId="1" applyNumberFormat="1" applyFont="1" applyFill="1" applyBorder="1" applyAlignment="1">
      <alignment horizontal="right"/>
    </xf>
    <xf numFmtId="3" fontId="5" fillId="2" borderId="15" xfId="1" applyNumberFormat="1" applyFont="1" applyFill="1" applyBorder="1" applyAlignment="1"/>
    <xf numFmtId="3" fontId="5" fillId="0" borderId="0" xfId="5" applyNumberFormat="1" applyFont="1" applyFill="1" applyBorder="1"/>
    <xf numFmtId="3" fontId="20" fillId="0" borderId="15" xfId="15" applyNumberFormat="1" applyFont="1" applyFill="1" applyBorder="1" applyAlignment="1">
      <alignment horizontal="right"/>
    </xf>
    <xf numFmtId="3" fontId="20" fillId="0" borderId="15" xfId="1" applyNumberFormat="1" applyFont="1" applyFill="1" applyBorder="1" applyAlignment="1">
      <alignment horizontal="right"/>
    </xf>
    <xf numFmtId="3" fontId="43" fillId="22" borderId="15" xfId="1" applyNumberFormat="1" applyFont="1" applyFill="1" applyBorder="1" applyAlignment="1"/>
    <xf numFmtId="3" fontId="19" fillId="2" borderId="15" xfId="1" applyNumberFormat="1" applyFont="1" applyFill="1" applyBorder="1" applyAlignment="1"/>
    <xf numFmtId="3" fontId="17" fillId="23" borderId="15" xfId="1" applyNumberFormat="1" applyFont="1" applyFill="1" applyBorder="1" applyAlignment="1">
      <alignment horizontal="right"/>
    </xf>
    <xf numFmtId="3" fontId="5" fillId="23" borderId="15" xfId="1" applyNumberFormat="1" applyFont="1" applyFill="1" applyBorder="1" applyAlignment="1"/>
    <xf numFmtId="3" fontId="17" fillId="0" borderId="42" xfId="1" applyNumberFormat="1" applyFont="1" applyFill="1" applyBorder="1" applyAlignment="1">
      <alignment horizontal="right"/>
    </xf>
    <xf numFmtId="3" fontId="17" fillId="0" borderId="0" xfId="1" applyNumberFormat="1" applyFont="1" applyFill="1" applyBorder="1" applyAlignment="1">
      <alignment horizontal="right"/>
    </xf>
    <xf numFmtId="3" fontId="17" fillId="22" borderId="42" xfId="15" applyNumberFormat="1" applyFont="1" applyFill="1" applyBorder="1" applyAlignment="1">
      <alignment horizontal="right"/>
    </xf>
    <xf numFmtId="3" fontId="17" fillId="0" borderId="42" xfId="15" applyNumberFormat="1" applyFont="1" applyFill="1" applyBorder="1" applyAlignment="1">
      <alignment horizontal="right"/>
    </xf>
    <xf numFmtId="3" fontId="5" fillId="0" borderId="15" xfId="24" applyNumberFormat="1" applyBorder="1"/>
    <xf numFmtId="3" fontId="5" fillId="0" borderId="15" xfId="25" applyNumberFormat="1" applyBorder="1"/>
    <xf numFmtId="3" fontId="5" fillId="0" borderId="15" xfId="26" applyNumberFormat="1" applyBorder="1"/>
    <xf numFmtId="3" fontId="5" fillId="5" borderId="15" xfId="1" applyNumberFormat="1" applyFont="1" applyFill="1" applyBorder="1" applyAlignment="1"/>
    <xf numFmtId="3" fontId="5" fillId="5" borderId="0" xfId="1" applyNumberFormat="1" applyFont="1" applyFill="1" applyBorder="1" applyAlignment="1"/>
    <xf numFmtId="3" fontId="17" fillId="3" borderId="15" xfId="1" applyNumberFormat="1" applyFont="1" applyFill="1" applyBorder="1" applyAlignment="1"/>
    <xf numFmtId="3" fontId="17" fillId="3" borderId="0" xfId="1" applyNumberFormat="1" applyFont="1" applyFill="1" applyBorder="1" applyAlignment="1"/>
    <xf numFmtId="3" fontId="17" fillId="3" borderId="4" xfId="1" applyNumberFormat="1" applyFont="1" applyFill="1" applyBorder="1" applyAlignment="1"/>
    <xf numFmtId="3" fontId="5" fillId="5" borderId="15" xfId="1" applyNumberFormat="1" applyFont="1" applyFill="1" applyBorder="1" applyAlignment="1">
      <alignment horizontal="left" indent="1"/>
    </xf>
    <xf numFmtId="3" fontId="5" fillId="5" borderId="31" xfId="1" applyNumberFormat="1" applyFont="1" applyFill="1" applyBorder="1" applyAlignment="1"/>
    <xf numFmtId="3" fontId="5" fillId="22" borderId="15" xfId="1" applyNumberFormat="1" applyFont="1" applyFill="1" applyBorder="1" applyAlignment="1"/>
    <xf numFmtId="3" fontId="17" fillId="22" borderId="15" xfId="1" applyNumberFormat="1" applyFont="1" applyFill="1" applyBorder="1" applyAlignment="1">
      <alignment horizontal="right"/>
    </xf>
    <xf numFmtId="3" fontId="5" fillId="0" borderId="0" xfId="5" applyNumberFormat="1" applyFont="1" applyBorder="1"/>
    <xf numFmtId="3" fontId="5" fillId="0" borderId="15" xfId="1" applyNumberFormat="1" applyFont="1" applyBorder="1"/>
    <xf numFmtId="3" fontId="5" fillId="21" borderId="15" xfId="1" applyNumberFormat="1" applyFont="1" applyFill="1" applyBorder="1"/>
    <xf numFmtId="3" fontId="5" fillId="2" borderId="42" xfId="1" applyNumberFormat="1" applyFont="1" applyFill="1" applyBorder="1" applyAlignment="1"/>
    <xf numFmtId="3" fontId="5" fillId="0" borderId="0" xfId="1" applyNumberFormat="1" applyFont="1" applyBorder="1"/>
    <xf numFmtId="3" fontId="5" fillId="0" borderId="42" xfId="1" applyNumberFormat="1" applyFont="1" applyBorder="1"/>
    <xf numFmtId="3" fontId="5" fillId="21" borderId="42" xfId="1" applyNumberFormat="1" applyFont="1" applyFill="1" applyBorder="1"/>
    <xf numFmtId="3" fontId="17" fillId="21" borderId="42" xfId="1" applyNumberFormat="1" applyFont="1" applyFill="1" applyBorder="1" applyAlignment="1">
      <alignment horizontal="right"/>
    </xf>
    <xf numFmtId="3" fontId="5" fillId="21" borderId="15" xfId="1" applyNumberFormat="1" applyFont="1" applyFill="1" applyBorder="1" applyAlignment="1"/>
    <xf numFmtId="3" fontId="13" fillId="2" borderId="15" xfId="1" applyNumberFormat="1" applyFont="1" applyFill="1" applyBorder="1" applyAlignment="1"/>
    <xf numFmtId="3" fontId="5" fillId="5" borderId="42" xfId="1" applyNumberFormat="1" applyFont="1" applyFill="1" applyBorder="1" applyAlignment="1"/>
    <xf numFmtId="3" fontId="5" fillId="25" borderId="15" xfId="1" applyNumberFormat="1" applyFont="1" applyFill="1" applyBorder="1" applyAlignment="1"/>
    <xf numFmtId="3" fontId="17" fillId="25" borderId="15" xfId="1" applyNumberFormat="1" applyFont="1" applyFill="1" applyBorder="1" applyAlignment="1">
      <alignment horizontal="right"/>
    </xf>
    <xf numFmtId="3" fontId="13" fillId="0" borderId="15" xfId="1" applyNumberFormat="1" applyFont="1" applyBorder="1"/>
    <xf numFmtId="3" fontId="37" fillId="2" borderId="15" xfId="1" applyNumberFormat="1" applyFont="1" applyFill="1" applyBorder="1" applyAlignment="1"/>
    <xf numFmtId="3" fontId="37" fillId="5" borderId="15" xfId="1" applyNumberFormat="1" applyFont="1" applyFill="1" applyBorder="1" applyAlignment="1"/>
    <xf numFmtId="3" fontId="37" fillId="5" borderId="0" xfId="1" applyNumberFormat="1" applyFont="1" applyFill="1" applyBorder="1" applyAlignment="1"/>
    <xf numFmtId="3" fontId="37" fillId="3" borderId="15" xfId="1" applyNumberFormat="1" applyFont="1" applyFill="1" applyBorder="1" applyAlignment="1"/>
    <xf numFmtId="3" fontId="37" fillId="3" borderId="0" xfId="1" applyNumberFormat="1" applyFont="1" applyFill="1" applyBorder="1" applyAlignment="1"/>
    <xf numFmtId="3" fontId="37" fillId="5" borderId="15" xfId="1" applyNumberFormat="1" applyFont="1" applyFill="1" applyBorder="1" applyAlignment="1">
      <alignment horizontal="left" indent="1"/>
    </xf>
    <xf numFmtId="3" fontId="37" fillId="5" borderId="31" xfId="1" applyNumberFormat="1" applyFont="1" applyFill="1" applyBorder="1" applyAlignment="1"/>
    <xf numFmtId="3" fontId="17" fillId="21" borderId="15" xfId="1" applyNumberFormat="1" applyFont="1" applyFill="1" applyBorder="1" applyAlignment="1">
      <alignment horizontal="right"/>
    </xf>
    <xf numFmtId="3" fontId="37" fillId="0" borderId="0" xfId="5" applyNumberFormat="1" applyFont="1" applyFill="1" applyBorder="1"/>
    <xf numFmtId="3" fontId="37" fillId="25" borderId="15" xfId="1" applyNumberFormat="1" applyFont="1" applyFill="1" applyBorder="1" applyAlignment="1"/>
    <xf numFmtId="3" fontId="17" fillId="22" borderId="28" xfId="1" applyNumberFormat="1" applyFont="1" applyFill="1" applyBorder="1" applyAlignment="1">
      <alignment horizontal="right"/>
    </xf>
    <xf numFmtId="3" fontId="17" fillId="22" borderId="16" xfId="1" applyNumberFormat="1" applyFont="1" applyFill="1" applyBorder="1" applyAlignment="1">
      <alignment horizontal="right"/>
    </xf>
    <xf numFmtId="165" fontId="5" fillId="22" borderId="0" xfId="28" applyNumberFormat="1" applyFont="1" applyFill="1" applyBorder="1" applyAlignment="1"/>
    <xf numFmtId="49" fontId="5" fillId="22" borderId="0" xfId="29" applyNumberFormat="1" applyFont="1" applyFill="1" applyBorder="1" applyAlignment="1">
      <alignment horizontal="left"/>
    </xf>
    <xf numFmtId="0" fontId="5" fillId="22" borderId="0" xfId="28" applyNumberFormat="1" applyFont="1" applyFill="1" applyBorder="1" applyAlignment="1">
      <alignment horizontal="center"/>
    </xf>
    <xf numFmtId="1" fontId="5" fillId="22" borderId="4" xfId="6" applyNumberFormat="1" applyFont="1" applyFill="1" applyBorder="1" applyAlignment="1">
      <alignment horizontal="center"/>
    </xf>
    <xf numFmtId="3" fontId="5" fillId="22" borderId="15" xfId="8" applyNumberFormat="1" applyFont="1" applyFill="1" applyBorder="1" applyAlignment="1">
      <alignment horizontal="center"/>
    </xf>
    <xf numFmtId="3" fontId="17" fillId="22" borderId="4" xfId="8" applyNumberFormat="1" applyFont="1" applyFill="1" applyBorder="1" applyAlignment="1">
      <alignment horizontal="center"/>
    </xf>
    <xf numFmtId="3" fontId="5" fillId="22" borderId="0" xfId="1" applyNumberFormat="1" applyFont="1" applyFill="1" applyBorder="1" applyAlignment="1"/>
    <xf numFmtId="3" fontId="17" fillId="22" borderId="15" xfId="1" applyNumberFormat="1" applyFont="1" applyFill="1" applyBorder="1" applyAlignment="1"/>
    <xf numFmtId="3" fontId="17" fillId="22" borderId="0" xfId="1" applyNumberFormat="1" applyFont="1" applyFill="1" applyBorder="1" applyAlignment="1"/>
    <xf numFmtId="3" fontId="17" fillId="22" borderId="4" xfId="1" applyNumberFormat="1" applyFont="1" applyFill="1" applyBorder="1" applyAlignment="1"/>
    <xf numFmtId="3" fontId="5" fillId="22" borderId="15" xfId="1" applyNumberFormat="1" applyFont="1" applyFill="1" applyBorder="1" applyAlignment="1">
      <alignment horizontal="left" indent="1"/>
    </xf>
    <xf numFmtId="3" fontId="5" fillId="22" borderId="31" xfId="1" applyNumberFormat="1" applyFont="1" applyFill="1" applyBorder="1" applyAlignment="1"/>
    <xf numFmtId="3" fontId="5" fillId="22" borderId="0" xfId="5" applyNumberFormat="1" applyFont="1" applyFill="1" applyBorder="1"/>
    <xf numFmtId="3" fontId="5" fillId="22" borderId="0" xfId="5" applyFont="1" applyFill="1" applyBorder="1"/>
    <xf numFmtId="3" fontId="5" fillId="0" borderId="18" xfId="0" pivotButton="1" applyFont="1" applyBorder="1"/>
    <xf numFmtId="3" fontId="5" fillId="0" borderId="33" xfId="0" pivotButton="1" applyFont="1" applyBorder="1"/>
    <xf numFmtId="3" fontId="5" fillId="0" borderId="34" xfId="0" applyFont="1" applyBorder="1"/>
    <xf numFmtId="3" fontId="5" fillId="0" borderId="36" xfId="0" applyFont="1" applyBorder="1"/>
    <xf numFmtId="3" fontId="5" fillId="0" borderId="37" xfId="0" applyFont="1" applyBorder="1"/>
    <xf numFmtId="3" fontId="5" fillId="0" borderId="36" xfId="0" applyNumberFormat="1" applyFont="1" applyBorder="1"/>
    <xf numFmtId="3" fontId="5" fillId="0" borderId="38" xfId="0" applyNumberFormat="1" applyFont="1" applyBorder="1"/>
    <xf numFmtId="168" fontId="13" fillId="0" borderId="40" xfId="0" applyNumberFormat="1" applyFont="1" applyBorder="1"/>
    <xf numFmtId="9" fontId="13" fillId="0" borderId="7" xfId="0" applyNumberFormat="1" applyFont="1" applyBorder="1"/>
    <xf numFmtId="9" fontId="13" fillId="0" borderId="0" xfId="0" applyNumberFormat="1" applyFont="1"/>
    <xf numFmtId="9" fontId="13" fillId="0" borderId="38" xfId="0" applyNumberFormat="1" applyFont="1" applyBorder="1"/>
    <xf numFmtId="168" fontId="13" fillId="0" borderId="18" xfId="0" applyNumberFormat="1" applyFont="1" applyBorder="1"/>
    <xf numFmtId="168" fontId="13" fillId="0" borderId="13" xfId="0" applyNumberFormat="1" applyFont="1" applyBorder="1"/>
    <xf numFmtId="168" fontId="13" fillId="0" borderId="36" xfId="0" applyNumberFormat="1" applyFont="1" applyBorder="1"/>
    <xf numFmtId="168" fontId="5" fillId="0" borderId="7" xfId="0" applyNumberFormat="1" applyFont="1" applyBorder="1"/>
    <xf numFmtId="168" fontId="5" fillId="0" borderId="0" xfId="0" applyNumberFormat="1" applyFont="1"/>
    <xf numFmtId="168" fontId="5" fillId="0" borderId="38" xfId="0" applyNumberFormat="1" applyFont="1" applyBorder="1"/>
    <xf numFmtId="168" fontId="13" fillId="0" borderId="38" xfId="0" applyNumberFormat="1" applyFont="1" applyBorder="1"/>
    <xf numFmtId="3" fontId="29" fillId="0" borderId="6" xfId="0" applyNumberFormat="1" applyFont="1" applyBorder="1"/>
    <xf numFmtId="3" fontId="29" fillId="0" borderId="44" xfId="0" applyNumberFormat="1" applyFont="1" applyBorder="1"/>
    <xf numFmtId="3" fontId="29" fillId="0" borderId="54" xfId="0" applyNumberFormat="1" applyFont="1" applyBorder="1"/>
    <xf numFmtId="166" fontId="28" fillId="0" borderId="44" xfId="0" applyNumberFormat="1" applyFont="1" applyBorder="1"/>
    <xf numFmtId="166" fontId="28" fillId="0" borderId="6" xfId="0" applyNumberFormat="1" applyFont="1" applyBorder="1"/>
    <xf numFmtId="166" fontId="28" fillId="0" borderId="54" xfId="0" applyNumberFormat="1" applyFont="1" applyBorder="1"/>
    <xf numFmtId="10" fontId="5" fillId="0" borderId="43" xfId="0" applyNumberFormat="1" applyFont="1" applyBorder="1"/>
    <xf numFmtId="10" fontId="5" fillId="0" borderId="17" xfId="0" applyNumberFormat="1" applyFont="1" applyBorder="1"/>
    <xf numFmtId="3" fontId="5" fillId="0" borderId="43" xfId="0" applyNumberFormat="1" applyFont="1" applyBorder="1"/>
    <xf numFmtId="3" fontId="5" fillId="0" borderId="17" xfId="0" applyNumberFormat="1" applyFont="1" applyBorder="1"/>
    <xf numFmtId="3" fontId="5" fillId="0" borderId="52" xfId="0" applyNumberFormat="1" applyFont="1" applyBorder="1"/>
    <xf numFmtId="3" fontId="13" fillId="0" borderId="43" xfId="0" applyFont="1" applyBorder="1"/>
    <xf numFmtId="3" fontId="13" fillId="0" borderId="53" xfId="0" applyFont="1" applyBorder="1"/>
    <xf numFmtId="166" fontId="28" fillId="26" borderId="44" xfId="0" applyNumberFormat="1" applyFont="1" applyFill="1" applyBorder="1"/>
    <xf numFmtId="9" fontId="13" fillId="26" borderId="7" xfId="0" applyNumberFormat="1" applyFont="1" applyFill="1" applyBorder="1"/>
    <xf numFmtId="168" fontId="5" fillId="26" borderId="7" xfId="0" applyNumberFormat="1" applyFont="1" applyFill="1" applyBorder="1"/>
    <xf numFmtId="3" fontId="29" fillId="26" borderId="44" xfId="0" applyNumberFormat="1" applyFont="1" applyFill="1" applyBorder="1"/>
    <xf numFmtId="168" fontId="13" fillId="26" borderId="18" xfId="0" applyNumberFormat="1" applyFont="1" applyFill="1" applyBorder="1"/>
    <xf numFmtId="3" fontId="5" fillId="26" borderId="43" xfId="0" applyNumberFormat="1" applyFont="1" applyFill="1" applyBorder="1"/>
    <xf numFmtId="3" fontId="5" fillId="31" borderId="7" xfId="0" applyNumberFormat="1" applyFont="1" applyFill="1" applyBorder="1"/>
    <xf numFmtId="3" fontId="5" fillId="31" borderId="55" xfId="0" applyNumberFormat="1" applyFont="1" applyFill="1" applyBorder="1"/>
    <xf numFmtId="3" fontId="5" fillId="31" borderId="0" xfId="0" applyNumberFormat="1" applyFont="1" applyFill="1"/>
    <xf numFmtId="37" fontId="14" fillId="0" borderId="11" xfId="0" applyNumberFormat="1" applyFont="1" applyBorder="1" applyAlignment="1" applyProtection="1">
      <alignment horizontal="center"/>
    </xf>
    <xf numFmtId="3" fontId="4" fillId="0" borderId="11" xfId="0" applyFont="1" applyBorder="1" applyAlignment="1">
      <alignment horizontal="center"/>
    </xf>
    <xf numFmtId="37" fontId="3" fillId="0" borderId="0" xfId="0" applyNumberFormat="1" applyFont="1" applyBorder="1" applyAlignment="1" applyProtection="1">
      <alignment horizontal="left" vertical="top" wrapText="1"/>
    </xf>
    <xf numFmtId="3" fontId="3" fillId="0" borderId="0" xfId="0" applyFont="1" applyBorder="1"/>
    <xf numFmtId="3" fontId="3" fillId="0" borderId="0" xfId="0" applyFont="1" applyBorder="1" applyAlignment="1">
      <alignment wrapText="1"/>
    </xf>
    <xf numFmtId="3" fontId="0" fillId="0" borderId="0" xfId="0" applyAlignment="1">
      <alignment wrapText="1"/>
    </xf>
    <xf numFmtId="37" fontId="9" fillId="0" borderId="6" xfId="0" applyNumberFormat="1" applyFont="1" applyBorder="1" applyAlignment="1" applyProtection="1">
      <alignment horizontal="left" vertical="top" wrapText="1"/>
    </xf>
    <xf numFmtId="3" fontId="0" fillId="0" borderId="6" xfId="0" applyBorder="1" applyAlignment="1">
      <alignment horizontal="left" vertical="top" wrapText="1"/>
    </xf>
    <xf numFmtId="37" fontId="12" fillId="0" borderId="0" xfId="0" applyNumberFormat="1" applyFont="1" applyAlignment="1" applyProtection="1">
      <alignment horizontal="center"/>
    </xf>
    <xf numFmtId="37" fontId="8" fillId="0" borderId="0" xfId="0" applyNumberFormat="1" applyFont="1" applyAlignment="1" applyProtection="1">
      <alignment horizontal="center"/>
    </xf>
    <xf numFmtId="37" fontId="9" fillId="0" borderId="0" xfId="0" applyNumberFormat="1" applyFont="1" applyBorder="1" applyAlignment="1" applyProtection="1">
      <alignment horizontal="left" vertical="top" wrapText="1"/>
    </xf>
    <xf numFmtId="3" fontId="9" fillId="0" borderId="0" xfId="0" applyFont="1" applyAlignment="1"/>
  </cellXfs>
  <cellStyles count="31">
    <cellStyle name="Comma" xfId="1" builtinId="3"/>
    <cellStyle name="Comma 2" xfId="28"/>
    <cellStyle name="Normal" xfId="0" builtinId="0"/>
    <cellStyle name="Normal 10" xfId="26"/>
    <cellStyle name="Normal 11" xfId="27"/>
    <cellStyle name="Normal 12" xfId="18"/>
    <cellStyle name="Normal 14" xfId="16"/>
    <cellStyle name="Normal 15" xfId="17"/>
    <cellStyle name="Normal 2" xfId="15"/>
    <cellStyle name="Normal 24" xfId="22"/>
    <cellStyle name="Normal 3" xfId="2"/>
    <cellStyle name="Normal 38" xfId="23"/>
    <cellStyle name="Normal 5" xfId="3"/>
    <cellStyle name="Normal 53" xfId="19"/>
    <cellStyle name="Normal 54" xfId="20"/>
    <cellStyle name="Normal 55" xfId="21"/>
    <cellStyle name="Normal 8" xfId="24"/>
    <cellStyle name="Normal 9" xfId="25"/>
    <cellStyle name="Normal_03SCH&amp;FTE05" xfId="4"/>
    <cellStyle name="Normal_04SCH-FTE09mastersurvey" xfId="5"/>
    <cellStyle name="Normal_Degree02 Form" xfId="6"/>
    <cellStyle name="Normal_Degree02 Form 2" xfId="30"/>
    <cellStyle name="Normal_Degrees02 Form" xfId="7"/>
    <cellStyle name="Normal_Degrees02 Form 2" xfId="29"/>
    <cellStyle name="Normal_SCH&amp;FTE02 Form" xfId="8"/>
    <cellStyle name="Normal_SCH&amp;FTE03 Form" xfId="9"/>
    <cellStyle name="Normal_StProg01B" xfId="10"/>
    <cellStyle name="Normal_StProg02 Form" xfId="11"/>
    <cellStyle name="Percent" xfId="12" builtinId="5"/>
    <cellStyle name="questionable" xfId="13"/>
    <cellStyle name="review" xfId="14"/>
  </cellStyles>
  <dxfs count="583">
    <dxf>
      <font>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border>
        <left style="thin">
          <color indexed="64"/>
        </left>
        <right style="thin">
          <color indexed="64"/>
        </right>
        <bottom style="thin">
          <color indexed="64"/>
        </bottom>
      </border>
    </dxf>
    <dxf>
      <fill>
        <patternFill patternType="solid">
          <bgColor theme="5" tint="0.79998168889431442"/>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numFmt numFmtId="168"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4" formatCode="0.00%"/>
    </dxf>
    <dxf>
      <numFmt numFmtId="14" formatCode="0.00%"/>
    </dxf>
    <dxf>
      <numFmt numFmtId="14" formatCode="0.00%"/>
    </dxf>
    <dxf>
      <numFmt numFmtId="14" formatCode="0.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6" formatCode="#,##0.0"/>
    </dxf>
    <dxf>
      <border>
        <top style="thin">
          <color indexed="64"/>
        </top>
      </border>
    </dxf>
    <dxf>
      <numFmt numFmtId="168" formatCode="0.0%"/>
    </dxf>
    <dxf>
      <border>
        <top style="thin">
          <color indexed="64"/>
        </top>
      </border>
    </dxf>
    <dxf>
      <font>
        <color rgb="FFC00000"/>
      </font>
    </dxf>
    <dxf>
      <font>
        <b/>
      </font>
      <numFmt numFmtId="168" formatCode="0.0%"/>
    </dxf>
    <dxf>
      <font>
        <b/>
      </font>
      <numFmt numFmtId="168" formatCode="0.0%"/>
    </dxf>
    <dxf>
      <numFmt numFmtId="168" formatCode="0.0%"/>
    </dxf>
    <dxf>
      <font>
        <b/>
      </font>
    </dxf>
    <dxf>
      <font>
        <b/>
      </font>
    </dxf>
    <dxf>
      <font>
        <b/>
      </font>
    </dxf>
    <dxf>
      <font>
        <b/>
      </font>
    </dxf>
    <dxf>
      <font>
        <b/>
      </font>
    </dxf>
    <dxf>
      <font>
        <b/>
      </font>
    </dxf>
    <dxf>
      <font>
        <b/>
      </font>
    </dxf>
    <dxf>
      <font>
        <b/>
      </font>
    </dxf>
    <dxf>
      <font>
        <color rgb="FFC00000"/>
      </font>
    </dxf>
    <dxf>
      <font>
        <color rgb="FFC00000"/>
      </font>
    </dxf>
    <dxf>
      <font>
        <b/>
      </font>
    </dxf>
    <dxf>
      <font>
        <b/>
      </font>
    </dxf>
    <dxf>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dxf>
    <dxf>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numFmt numFmtId="168" formatCode="0.0%"/>
    </dxf>
    <dxf>
      <font>
        <b/>
      </font>
    </dxf>
    <dxf>
      <font>
        <b/>
      </font>
    </dxf>
    <dxf>
      <border>
        <bottom/>
      </border>
    </dxf>
    <dxf>
      <border>
        <bottom/>
      </border>
    </dxf>
    <dxf>
      <border>
        <bottom/>
      </border>
    </dxf>
    <dxf>
      <border>
        <bottom/>
      </border>
    </dxf>
    <dxf>
      <border>
        <bottom/>
      </border>
    </dxf>
    <dxf>
      <border>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b/>
      </font>
    </dxf>
    <dxf>
      <font>
        <sz val="10"/>
      </font>
    </dxf>
    <dxf>
      <border>
        <bottom style="thin">
          <color indexed="64"/>
        </bottom>
      </border>
    </dxf>
    <dxf>
      <border>
        <bottom style="thin">
          <color indexed="64"/>
        </bottom>
      </border>
    </dxf>
    <dxf>
      <border>
        <bottom style="thin">
          <color indexed="64"/>
        </bottom>
      </border>
    </dxf>
    <dxf>
      <numFmt numFmtId="13" formatCode="0%"/>
    </dxf>
    <dxf>
      <font>
        <b/>
      </font>
    </dxf>
    <dxf>
      <numFmt numFmtId="168" formatCode="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14" formatCode="0.00%"/>
    </dxf>
    <dxf>
      <font>
        <b/>
      </font>
    </dxf>
    <dxf>
      <font>
        <b/>
      </font>
    </dxf>
    <dxf>
      <font>
        <b/>
      </font>
    </dxf>
    <dxf>
      <font>
        <b/>
      </fon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border>
        <left style="thin">
          <color indexed="64"/>
        </left>
        <right style="thin">
          <color indexed="64"/>
        </right>
        <top style="thin">
          <color indexed="64"/>
        </top>
        <bottom style="thin">
          <color indexed="64"/>
        </bottom>
      </border>
    </dxf>
    <dxf>
      <fill>
        <patternFill patternType="solid">
          <bgColor theme="5" tint="0.79998168889431442"/>
        </patternFill>
      </fill>
    </dxf>
    <dxf>
      <fill>
        <patternFill patternType="solid">
          <fgColor indexed="64"/>
          <bgColor theme="5" tint="0.79998168889431442"/>
        </patternFill>
      </fill>
    </dxf>
    <dxf>
      <border>
        <right style="thin">
          <color indexed="64"/>
        </right>
        <top style="thin">
          <color indexed="64"/>
        </top>
        <bottom style="thin">
          <color indexed="64"/>
        </bottom>
      </border>
    </dxf>
    <dxf>
      <fill>
        <patternFill patternType="solid">
          <bgColor theme="5" tint="0.79998168889431442"/>
        </patternFill>
      </fill>
    </dxf>
    <dxf>
      <font>
        <b/>
      </font>
    </dxf>
    <dxf>
      <font>
        <b/>
      </font>
    </dxf>
    <dxf>
      <font>
        <b/>
      </font>
    </dxf>
    <dxf>
      <font>
        <b/>
      </font>
    </dxf>
    <dxf>
      <font>
        <b/>
      </font>
    </dxf>
    <dxf>
      <font>
        <b/>
      </font>
    </dxf>
    <dxf>
      <font>
        <b/>
      </font>
    </dxf>
    <dxf>
      <font>
        <b/>
      </font>
    </dxf>
    <dxf>
      <font>
        <b/>
      </font>
    </dxf>
    <dxf>
      <font>
        <b/>
      </font>
    </dxf>
    <dxf>
      <font>
        <b/>
      </font>
    </dxf>
    <dxf>
      <font>
        <b/>
      </font>
    </dxf>
    <dxf>
      <border>
        <bottom style="thin">
          <color indexed="64"/>
        </bottom>
      </border>
    </dxf>
    <dxf>
      <border>
        <left style="thin">
          <color indexed="64"/>
        </left>
      </border>
    </dxf>
    <dxf>
      <border>
        <left/>
        <right/>
        <top/>
        <bottom/>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numFmt numFmtId="168" formatCode="0.0%"/>
    </dxf>
    <dxf>
      <numFmt numFmtId="168" formatCode="0.0%"/>
    </dxf>
    <dxf>
      <fill>
        <patternFill patternType="solid">
          <bgColor theme="5" tint="0.79998168889431442"/>
        </patternFill>
      </fill>
    </dxf>
    <dxf>
      <alignment wrapText="1" readingOrder="0"/>
    </dxf>
    <dxf>
      <alignment wrapText="1" readingOrder="0"/>
    </dxf>
    <dxf>
      <alignment wrapText="1" readingOrder="0"/>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fill>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alignment horizontal="right" readingOrder="0"/>
    </dxf>
    <dxf>
      <font>
        <b/>
      </font>
    </dxf>
    <dxf>
      <numFmt numFmtId="172" formatCode="_(* #,##0.0_);_(* \(#,##0.0\);_(* &quot;-&quot;??_);_(@_)"/>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sz val="10"/>
      </font>
      <numFmt numFmtId="165" formatCode="_(* #,##0_);_(* \(#,##0\);_(* &quot;-&quot;??_);_(@_)"/>
    </dxf>
    <dxf>
      <border>
        <bottom style="thin">
          <color indexed="64"/>
        </bottom>
      </border>
    </dxf>
    <dxf>
      <border>
        <bottom style="thin">
          <color indexed="64"/>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b/>
        <sz val="10"/>
      </font>
      <numFmt numFmtId="165" formatCode="_(* #,##0_);_(* \(#,##0\);_(* &quot;-&quot;??_);_(@_)"/>
    </dxf>
    <dxf>
      <fill>
        <patternFill patternType="solid">
          <bgColor indexed="22"/>
        </patternFill>
      </fill>
    </dxf>
    <dxf>
      <fill>
        <patternFill>
          <bgColor indexed="22"/>
        </patternFill>
      </fill>
    </dxf>
    <dxf>
      <fill>
        <patternFill>
          <bgColor indexed="22"/>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bgColor indexed="22"/>
        </patternFill>
      </fill>
    </dxf>
    <dxf>
      <fill>
        <patternFill patternType="solid">
          <bgColor indexed="49"/>
        </patternFill>
      </fill>
    </dxf>
    <dxf>
      <border>
        <top style="thin">
          <color indexed="8"/>
        </top>
      </border>
    </dxf>
    <dxf>
      <border>
        <left style="thin">
          <color indexed="64"/>
        </left>
      </border>
    </dxf>
    <dxf>
      <border>
        <left/>
      </border>
    </dxf>
    <dxf>
      <border>
        <left style="thin">
          <color indexed="64"/>
        </left>
      </border>
    </dxf>
    <dxf>
      <fill>
        <patternFill patternType="none"/>
      </fill>
    </dxf>
    <dxf>
      <fill>
        <patternFill patternType="solid">
          <bgColor indexed="43"/>
        </patternFill>
      </fill>
    </dxf>
    <dxf>
      <font>
        <b val="0"/>
      </font>
    </dxf>
    <dxf>
      <font>
        <b val="0"/>
      </font>
    </dxf>
    <dxf>
      <font>
        <b/>
        <sz val="10"/>
      </font>
      <numFmt numFmtId="165" formatCode="_(* #,##0_);_(* \(#,##0\);_(* &quot;-&quot;??_);_(@_)"/>
    </dxf>
    <dxf>
      <font>
        <b/>
        <sz val="10"/>
      </font>
      <numFmt numFmtId="165" formatCode="_(* #,##0_);_(* \(#,##0\);_(* &quot;-&quot;??_);_(@_)"/>
    </dxf>
    <dxf>
      <font>
        <b/>
      </font>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alignment horizontal="general" readingOrder="0"/>
    </dxf>
    <dxf>
      <alignment horizontal="general" readingOrder="0"/>
    </dxf>
    <dxf>
      <alignment horizontal="general" readingOrder="0"/>
    </dxf>
    <dxf>
      <border>
        <bottom style="thin">
          <color indexed="64"/>
        </bottom>
      </border>
    </dxf>
    <dxf>
      <border>
        <bottom style="thin">
          <color indexed="64"/>
        </bottom>
      </border>
    </dxf>
    <dxf>
      <font>
        <sz val="10"/>
      </font>
      <numFmt numFmtId="165" formatCode="_(* #,##0_);_(* \(#,##0\);_(* &quot;-&quot;??_);_(@_)"/>
    </dxf>
    <dxf>
      <font>
        <sz val="10"/>
      </font>
      <numFmt numFmtId="165" formatCode="_(* #,##0_);_(* \(#,##0\);_(* &quot;-&quot;??_);_(@_)"/>
    </dxf>
    <dxf>
      <font>
        <sz val="10"/>
      </font>
      <numFmt numFmtId="165" formatCode="_(* #,##0_);_(* \(#,##0\);_(* &quot;-&quot;??_);_(@_)"/>
    </dxf>
    <dxf>
      <font>
        <sz val="10"/>
      </font>
    </dxf>
    <dxf>
      <alignment horizontal="right" readingOrder="0"/>
    </dxf>
    <dxf>
      <alignment horizontal="right" readingOrder="0"/>
    </dxf>
    <dxf>
      <alignment horizontal="right" readingOrder="0"/>
    </dxf>
    <dxf>
      <alignment horizontal="right" readingOrder="0"/>
    </dxf>
    <dxf>
      <alignment horizontal="right" readingOrder="0"/>
    </dxf>
    <dxf>
      <font>
        <color auto="1"/>
      </font>
    </dxf>
    <dxf>
      <border>
        <left style="thin">
          <color indexed="8"/>
        </left>
        <right style="thin">
          <color indexed="8"/>
        </right>
      </border>
    </dxf>
    <dxf>
      <border>
        <right style="thin">
          <color indexed="8"/>
        </right>
      </border>
    </dxf>
    <dxf>
      <border>
        <right style="thin">
          <color indexed="8"/>
        </right>
      </border>
    </dxf>
    <dxf>
      <border>
        <right style="thin">
          <color indexed="8"/>
        </right>
      </border>
    </dxf>
    <dxf>
      <border>
        <left style="thin">
          <color indexed="64"/>
        </left>
      </border>
    </dxf>
    <dxf>
      <border>
        <right style="thin">
          <color indexed="64"/>
        </right>
      </border>
    </dxf>
    <dxf>
      <border>
        <left/>
      </border>
    </dxf>
    <dxf>
      <alignment horizontal="general" readingOrder="0"/>
    </dxf>
    <dxf>
      <alignment horizontal="right" readingOrder="0"/>
    </dxf>
    <dxf>
      <alignment horizontal="center" readingOrder="0"/>
    </dxf>
    <dxf>
      <alignment horizontal="left" readingOrder="0"/>
    </dxf>
    <dxf>
      <alignment horizontal="general" readingOrder="0"/>
    </dxf>
    <dxf>
      <alignment horizontal="right" readingOrder="0"/>
    </dxf>
    <dxf>
      <alignment horizontal="general" readingOrder="0"/>
    </dxf>
    <dxf>
      <alignment horizontal="right" readingOrder="0"/>
    </dxf>
    <dxf>
      <alignment horizontal="left" readingOrder="0"/>
    </dxf>
    <dxf>
      <alignment horizontal="right" readingOrder="0"/>
    </dxf>
    <dxf>
      <font>
        <b/>
      </font>
    </dxf>
    <dxf>
      <font>
        <b/>
      </font>
    </dxf>
    <dxf>
      <font>
        <b/>
      </font>
    </dxf>
    <dxf>
      <alignment horizontal="general" readingOrder="0"/>
    </dxf>
    <dxf>
      <alignment horizontal="right" readingOrder="0"/>
    </dxf>
    <dxf>
      <numFmt numFmtId="166" formatCode="#,##0.0"/>
    </dxf>
    <dxf>
      <font>
        <b/>
      </font>
    </dxf>
    <dxf>
      <font>
        <b/>
      </font>
    </dxf>
    <dxf>
      <font>
        <b/>
      </font>
    </dxf>
    <dxf>
      <fill>
        <patternFill patternType="solid">
          <bgColor indexed="22"/>
        </patternFill>
      </fill>
    </dxf>
    <dxf>
      <fill>
        <patternFill patternType="solid">
          <bgColor indexed="22"/>
        </patternFill>
      </fill>
    </dxf>
    <dxf>
      <fill>
        <patternFill patternType="solid">
          <bgColor indexed="22"/>
        </patternFill>
      </fill>
    </dxf>
    <dxf>
      <font>
        <b/>
      </font>
    </dxf>
    <dxf>
      <font>
        <b/>
      </font>
    </dxf>
    <dxf>
      <font>
        <b/>
      </font>
    </dxf>
    <dxf>
      <numFmt numFmtId="165" formatCode="_(* #,##0_);_(* \(#,##0\);_(* &quot;-&quot;??_);_(@_)"/>
    </dxf>
    <dxf>
      <numFmt numFmtId="172" formatCode="_(* #,##0.0_);_(* \(#,##0.0\);_(* &quot;-&quot;??_);_(@_)"/>
    </dxf>
    <dxf>
      <numFmt numFmtId="35" formatCode="_(* #,##0.00_);_(* \(#,##0.00\);_(* &quot;-&quot;??_);_(@_)"/>
    </dxf>
    <dxf>
      <alignment horizontal="right" readingOrder="0"/>
    </dxf>
    <dxf>
      <alignment horizontal="right" readingOrder="0"/>
    </dxf>
    <dxf>
      <numFmt numFmtId="172" formatCode="_(* #,##0.0_);_(* \(#,##0.0\);_(* &quot;-&quot;??_);_(@_)"/>
    </dxf>
    <dxf>
      <alignment horizontal="right" readingOrder="0"/>
    </dxf>
    <dxf>
      <numFmt numFmtId="165" formatCode="_(* #,##0_);_(* \(#,##0\);_(* &quot;-&quot;??_);_(@_)"/>
    </dxf>
    <dxf>
      <numFmt numFmtId="172" formatCode="_(* #,##0.0_);_(* \(#,##0.0\);_(* &quot;-&quot;??_);_(@_)"/>
    </dxf>
    <dxf>
      <numFmt numFmtId="35" formatCode="_(* #,##0.00_);_(* \(#,##0.00\);_(* &quot;-&quot;??_);_(@_)"/>
    </dxf>
    <dxf>
      <font>
        <name val="Arial"/>
        <scheme val="none"/>
      </font>
    </dxf>
  </dxfs>
  <tableStyles count="0" defaultTableStyle="TableStyleMedium9" defaultPivotStyle="PivotStyleLight16"/>
  <colors>
    <mruColors>
      <color rgb="FF00FF00"/>
      <color rgb="FFFFFFCC"/>
      <color rgb="FF0000FF"/>
    </mruColors>
  </colors>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marks" refreshedDate="40584.386609027781" createdVersion="3" refreshedVersion="3" recordCount="726">
  <cacheSource type="worksheet">
    <worksheetSource ref="A4:AZ730" sheet="SCH Data"/>
  </cacheSource>
  <cacheFields count="63">
    <cacheField name="State" numFmtId="0">
      <sharedItems containsBlank="1" count="17">
        <s v="AL"/>
        <s v="AR"/>
        <s v="DE"/>
        <s v="FL"/>
        <s v="GA"/>
        <s v="KY"/>
        <s v="LA"/>
        <s v="MD"/>
        <s v="MS"/>
        <s v="NC"/>
        <s v="OK"/>
        <s v="SC"/>
        <s v="TN"/>
        <s v="TX"/>
        <s v="VA"/>
        <m/>
        <s v="WV"/>
      </sharedItems>
    </cacheField>
    <cacheField name="Institution" numFmtId="0">
      <sharedItems containsBlank="1"/>
    </cacheField>
    <cacheField name="IPEDS ID #" numFmtId="0">
      <sharedItems containsBlank="1" containsMixedTypes="1" containsNumber="1" containsInteger="1" minValue="100654" maxValue="447689"/>
    </cacheField>
    <cacheField name="Category" numFmtId="0">
      <sharedItems containsBlank="1" containsMixedTypes="1" containsNumber="1" containsInteger="1" minValue="1" maxValue="15" count="20">
        <n v="1"/>
        <n v="2"/>
        <n v="3"/>
        <n v="4"/>
        <n v="5"/>
        <n v="6"/>
        <n v="8"/>
        <n v="9"/>
        <n v="10"/>
        <n v="12"/>
        <n v="13"/>
        <n v="7"/>
        <n v="15"/>
        <n v="14"/>
        <s v="08b"/>
        <s v="09b"/>
        <s v="10b"/>
        <s v="11b"/>
        <m/>
        <n v="11" u="1"/>
      </sharedItems>
      <fieldGroup par="59"/>
    </cacheField>
    <cacheField name="Old-Term Code" numFmtId="3">
      <sharedItems containsBlank="1"/>
    </cacheField>
    <cacheField name="New-Term Code" numFmtId="0">
      <sharedItems containsBlank="1"/>
    </cacheField>
    <cacheField name="old-Winter Undg SCH" numFmtId="3">
      <sharedItems containsString="0" containsBlank="1" containsNumber="1" minValue="0" maxValue="461281"/>
    </cacheField>
    <cacheField name="new-Winter Undg SCH" numFmtId="3">
      <sharedItems containsString="0" containsBlank="1" containsNumber="1" minValue="0" maxValue="526904"/>
    </cacheField>
    <cacheField name="old-Spring Undg SCH" numFmtId="3">
      <sharedItems containsString="0" containsBlank="1" containsNumber="1" minValue="0" maxValue="1192175"/>
    </cacheField>
    <cacheField name="new-Spring Undg SCH" numFmtId="3">
      <sharedItems containsString="0" containsBlank="1" containsNumber="1" minValue="0" maxValue="3579093.5"/>
    </cacheField>
    <cacheField name="old-Summer Undg SCH" numFmtId="3">
      <sharedItems containsString="0" containsBlank="1" containsNumber="1" minValue="0" maxValue="383948"/>
    </cacheField>
    <cacheField name="new-Summer Undg SCH" numFmtId="3">
      <sharedItems containsString="0" containsBlank="1" containsNumber="1" minValue="0" maxValue="712869.5"/>
    </cacheField>
    <cacheField name="old-Fall Undg SCH" numFmtId="3">
      <sharedItems containsString="0" containsBlank="1" containsNumber="1" minValue="1072" maxValue="1340448"/>
    </cacheField>
    <cacheField name="new-Fall Undg SCH" numFmtId="3">
      <sharedItems containsString="0" containsBlank="1" containsNumber="1" minValue="0" maxValue="3809788"/>
    </cacheField>
    <cacheField name="Old-Total Undg SCH" numFmtId="3">
      <sharedItems containsString="0" containsBlank="1" containsNumber="1" minValue="0" maxValue="2916571"/>
    </cacheField>
    <cacheField name="Old-Total Undg SCH FTE" numFmtId="3">
      <sharedItems containsString="0" containsBlank="1" containsNumber="1" minValue="0" maxValue="97219.03333333334"/>
    </cacheField>
    <cacheField name="New-Total Undg SCH" numFmtId="3">
      <sharedItems containsString="0" containsBlank="1" containsNumber="1" minValue="0" maxValue="1463404"/>
    </cacheField>
    <cacheField name="New-Total Undg SCH FTE" numFmtId="3">
      <sharedItems containsString="0" containsBlank="1" containsNumber="1" minValue="0" maxValue="48780.133333333331"/>
    </cacheField>
    <cacheField name="Old-Total HS SCH" numFmtId="3">
      <sharedItems containsString="0" containsBlank="1" containsNumber="1" minValue="0" maxValue="253475"/>
    </cacheField>
    <cacheField name="New-Total HS SCH" numFmtId="3">
      <sharedItems containsString="0" containsBlank="1" containsNumber="1" minValue="0" maxValue="85589"/>
    </cacheField>
    <cacheField name="Old-Total Undg SCH2" numFmtId="3">
      <sharedItems containsString="0" containsBlank="1" containsNumber="1" minValue="0" maxValue="2916571"/>
    </cacheField>
    <cacheField name="New-Total Undg SCH2" numFmtId="3">
      <sharedItems containsString="0" containsBlank="1" containsNumber="1" minValue="0" maxValue="1463404"/>
    </cacheField>
    <cacheField name="old-Winter Undg CH" numFmtId="3">
      <sharedItems containsString="0" containsBlank="1" containsNumber="1" containsInteger="1" minValue="0" maxValue="696050"/>
    </cacheField>
    <cacheField name="new-Winter Undg CH" numFmtId="3">
      <sharedItems containsString="0" containsBlank="1" containsNumber="1" containsInteger="1" minValue="0" maxValue="846495"/>
    </cacheField>
    <cacheField name="old-Spring Undg CH" numFmtId="3">
      <sharedItems containsString="0" containsBlank="1" containsNumber="1" minValue="0" maxValue="3045387"/>
    </cacheField>
    <cacheField name="new-Spring Undg CH" numFmtId="3">
      <sharedItems containsString="0" containsBlank="1" containsNumber="1" minValue="0" maxValue="3184728"/>
    </cacheField>
    <cacheField name="old-Summer Undg CH" numFmtId="3">
      <sharedItems containsBlank="1" containsMixedTypes="1" containsNumber="1" containsInteger="1" minValue="0" maxValue="2796873"/>
    </cacheField>
    <cacheField name="new-Summer Undg CH" numFmtId="3">
      <sharedItems containsString="0" containsBlank="1" containsNumber="1" containsInteger="1" minValue="0" maxValue="2497876"/>
    </cacheField>
    <cacheField name="old-Fall Undg CH" numFmtId="3">
      <sharedItems containsString="0" containsBlank="1" containsNumber="1" minValue="0" maxValue="2959024"/>
    </cacheField>
    <cacheField name="new-Fall Undg CH" numFmtId="3">
      <sharedItems containsString="0" containsBlank="1" containsNumber="1" minValue="0" maxValue="2087029"/>
    </cacheField>
    <cacheField name="Old-Total Undg CH" numFmtId="3">
      <sharedItems containsString="0" containsBlank="1" containsNumber="1" minValue="0" maxValue="8801284"/>
    </cacheField>
    <cacheField name="Old-Total Undg CH FTE" numFmtId="3">
      <sharedItems containsString="0" containsBlank="1" containsNumber="1" minValue="0" maxValue="9779.2044444444437"/>
    </cacheField>
    <cacheField name="New-Total Undg CH" numFmtId="3">
      <sharedItems containsString="0" containsBlank="1" containsNumber="1" minValue="0" maxValue="7769633"/>
    </cacheField>
    <cacheField name="New-Total Undg CH FTE" numFmtId="3">
      <sharedItems containsString="0" containsBlank="1" containsNumber="1" minValue="0" maxValue="8632.9255555555555"/>
    </cacheField>
    <cacheField name="Old-Total HS CH" numFmtId="3">
      <sharedItems containsString="0" containsBlank="1" containsNumber="1" containsInteger="1" minValue="0" maxValue="131644"/>
    </cacheField>
    <cacheField name="New-Total HS CH" numFmtId="3">
      <sharedItems containsString="0" containsBlank="1" containsNumber="1" containsInteger="1" minValue="0" maxValue="113601"/>
    </cacheField>
    <cacheField name="Old-Total Undg CH2" numFmtId="3">
      <sharedItems containsString="0" containsBlank="1" containsNumber="1" containsInteger="1" minValue="0" maxValue="8801284"/>
    </cacheField>
    <cacheField name="New-Total Undg CH2" numFmtId="3">
      <sharedItems containsString="0" containsBlank="1" containsNumber="1" containsInteger="1" minValue="0" maxValue="7769633"/>
    </cacheField>
    <cacheField name="old-Winter Grad SCH" numFmtId="3">
      <sharedItems containsString="0" containsBlank="1" containsNumber="1" containsInteger="1" minValue="0" maxValue="6955"/>
    </cacheField>
    <cacheField name="new-Winter Grad SCH" numFmtId="3">
      <sharedItems containsString="0" containsBlank="1" containsNumber="1" containsInteger="1" minValue="0" maxValue="7380"/>
    </cacheField>
    <cacheField name="old-Spring Grad SCH" numFmtId="3">
      <sharedItems containsString="0" containsBlank="1" containsNumber="1" minValue="0" maxValue="140176"/>
    </cacheField>
    <cacheField name="new-Spring Grad SCH" numFmtId="3">
      <sharedItems containsString="0" containsBlank="1" containsNumber="1" minValue="0" maxValue="384823"/>
    </cacheField>
    <cacheField name="old-Summer Grad SCH" numFmtId="3">
      <sharedItems containsString="0" containsBlank="1" containsNumber="1" minValue="0" maxValue="62921"/>
    </cacheField>
    <cacheField name="new-Summer Grad SCH" numFmtId="3">
      <sharedItems containsString="0" containsBlank="1" containsNumber="1" minValue="0" maxValue="109209"/>
    </cacheField>
    <cacheField name="old-Fall Grad SCH" numFmtId="3">
      <sharedItems containsString="0" containsBlank="1" containsNumber="1" minValue="0" maxValue="152493"/>
    </cacheField>
    <cacheField name="new-Fall Grad SCH" numFmtId="3">
      <sharedItems containsString="0" containsBlank="1" containsNumber="1" minValue="0" maxValue="400059"/>
    </cacheField>
    <cacheField name="Old-Total Grad SCH" numFmtId="3">
      <sharedItems containsString="0" containsBlank="1" containsNumber="1" minValue="0" maxValue="355590"/>
    </cacheField>
    <cacheField name="Old-Total Grad FTE" numFmtId="3">
      <sharedItems containsString="0" containsBlank="1" containsNumber="1" minValue="0" maxValue="14816.25"/>
    </cacheField>
    <cacheField name="New-Total Grad SCH" numFmtId="3">
      <sharedItems containsString="0" containsBlank="1" containsNumber="1" minValue="0" maxValue="357375"/>
    </cacheField>
    <cacheField name="New-Total Grad FTE" numFmtId="3">
      <sharedItems containsString="0" containsBlank="1" containsNumber="1" minValue="0" maxValue="14890.625"/>
    </cacheField>
    <cacheField name="Old Grand Total FTE" numFmtId="3">
      <sharedItems containsString="0" containsBlank="1" containsNumber="1" minValue="0" maxValue="97219.03333333334"/>
    </cacheField>
    <cacheField name="New Grand Total FTE" numFmtId="3">
      <sharedItems containsString="0" containsBlank="1" containsNumber="1" minValue="0" maxValue="57413.058888888889"/>
    </cacheField>
    <cacheField name="% Change Undg SCH FTE" numFmtId="0" formula="IF('Old-Total Undg SCH FTE'&gt;0,((('New-Total Undg SCH FTE'-'Old-Total Undg SCH FTE')/'Old-Total Undg SCH FTE')))" databaseField="0"/>
    <cacheField name="% Change Grad FTE" numFmtId="0" formula="IF('Old-Total Grad FTE'&gt;0, ((('New-Total Grad FTE'-'Old-Total Grad FTE')/'Old-Total Grad FTE')))" databaseField="0"/>
    <cacheField name="% Change Undg CH FTE" numFmtId="0" formula="IF('Old-Total Undg CH FTE'&gt;0,((('New-Total Undg CH FTE'-'Old-Total Undg CH FTE')/'Old-Total Undg CH FTE')))" databaseField="0"/>
    <cacheField name="New-Total HSH" numFmtId="0" formula="'New-Total HS SCH'+'New-Total HS CH'" databaseField="0"/>
    <cacheField name="New-Total UGH" numFmtId="0" formula="'New-Total Undg SCH'+'New-Total Undg CH'" databaseField="0"/>
    <cacheField name="New-HS % of Total" numFmtId="0" formula="IF('New-Total UGH'&gt;0,('New-Total HSH'/'New-Total UGH'))" databaseField="0"/>
    <cacheField name="Old-HS % of Total" numFmtId="0" formula="IF('Old-Total HSH'&gt;0,('Old-Total HSH'/'Old-Total UGH'),)" databaseField="0"/>
    <cacheField name="Category2" numFmtId="0" databaseField="0">
      <fieldGroup base="3">
        <discretePr count="20">
          <x v="4"/>
          <x v="4"/>
          <x v="4"/>
          <x v="4"/>
          <x v="4"/>
          <x v="4"/>
          <x v="5"/>
          <x v="5"/>
          <x v="5"/>
          <x v="6"/>
          <x v="6"/>
          <x v="5"/>
          <x v="0"/>
          <x v="6"/>
          <x v="7"/>
          <x v="8"/>
          <x v="1"/>
          <x v="2"/>
          <x v="9"/>
          <x v="3"/>
        </discretePr>
        <groupItems count="10">
          <n v="15"/>
          <s v="10b"/>
          <s v="11b"/>
          <n v="11"/>
          <s v="Group1"/>
          <s v="Group2"/>
          <s v="Group3"/>
          <s v="08b"/>
          <s v="09b"/>
          <m/>
        </groupItems>
      </fieldGroup>
    </cacheField>
    <cacheField name="% Change Total FTE" numFmtId="0" formula="IF('Old Grand Total FTE'&gt;0, ((('New Grand Total FTE'-'Old Grand Total FTE')/'Old Grand Total FTE')))" databaseField="0"/>
    <cacheField name="Old-Total UGH" numFmtId="0" formula="'Old-Total Undg SCH'+'Old-Total Undg CH'" databaseField="0"/>
    <cacheField name="Old-Total HSH" numFmtId="0" formula="'Old-Total HS SCH'+'Old-Total HS CH'" databaseField="0"/>
  </cacheFields>
</pivotCacheDefinition>
</file>

<file path=xl/pivotCache/pivotCacheDefinition2.xml><?xml version="1.0" encoding="utf-8"?>
<pivotCacheDefinition xmlns="http://schemas.openxmlformats.org/spreadsheetml/2006/main" xmlns:r="http://schemas.openxmlformats.org/officeDocument/2006/relationships" r:id="rId1" refreshedBy="jmarks" refreshedDate="40584.38672800926" createdVersion="3" refreshedVersion="3" minRefreshableVersion="3" recordCount="726">
  <cacheSource type="worksheet">
    <worksheetSource ref="A4:AL730" sheet="SCH Data"/>
  </cacheSource>
  <cacheFields count="46">
    <cacheField name="State" numFmtId="0">
      <sharedItems containsBlank="1" count="17">
        <s v="AL"/>
        <s v="AR"/>
        <s v="DE"/>
        <s v="FL"/>
        <s v="GA"/>
        <s v="KY"/>
        <s v="LA"/>
        <s v="MD"/>
        <s v="MS"/>
        <s v="NC"/>
        <s v="OK"/>
        <s v="SC"/>
        <s v="TN"/>
        <s v="TX"/>
        <s v="VA"/>
        <m/>
        <s v="WV"/>
      </sharedItems>
    </cacheField>
    <cacheField name="Institution" numFmtId="0">
      <sharedItems containsBlank="1"/>
    </cacheField>
    <cacheField name="IPEDS ID #" numFmtId="0">
      <sharedItems containsBlank="1" containsMixedTypes="1" containsNumber="1" containsInteger="1" minValue="100654" maxValue="447689"/>
    </cacheField>
    <cacheField name="Category" numFmtId="0">
      <sharedItems containsBlank="1" containsMixedTypes="1" containsNumber="1" containsInteger="1" minValue="1" maxValue="15" count="20">
        <n v="1"/>
        <n v="2"/>
        <n v="3"/>
        <n v="4"/>
        <n v="5"/>
        <n v="6"/>
        <n v="8"/>
        <n v="9"/>
        <n v="10"/>
        <n v="12"/>
        <n v="13"/>
        <n v="7"/>
        <n v="15"/>
        <n v="14"/>
        <s v="08b"/>
        <s v="09b"/>
        <s v="10b"/>
        <s v="11b"/>
        <m/>
        <n v="11" u="1"/>
      </sharedItems>
      <fieldGroup par="42"/>
    </cacheField>
    <cacheField name="Old-Term Code" numFmtId="3">
      <sharedItems containsBlank="1"/>
    </cacheField>
    <cacheField name="New-Term Code" numFmtId="0">
      <sharedItems containsBlank="1"/>
    </cacheField>
    <cacheField name="old-Winter Undg SCH" numFmtId="3">
      <sharedItems containsString="0" containsBlank="1" containsNumber="1" minValue="0" maxValue="461281"/>
    </cacheField>
    <cacheField name="new-Winter Undg SCH" numFmtId="3">
      <sharedItems containsString="0" containsBlank="1" containsNumber="1" minValue="0" maxValue="526904"/>
    </cacheField>
    <cacheField name="old-Spring Undg SCH" numFmtId="3">
      <sharedItems containsString="0" containsBlank="1" containsNumber="1" minValue="0" maxValue="1192175"/>
    </cacheField>
    <cacheField name="new-Spring Undg SCH" numFmtId="3">
      <sharedItems containsString="0" containsBlank="1" containsNumber="1" minValue="0" maxValue="3579093.5"/>
    </cacheField>
    <cacheField name="old-Summer Undg SCH" numFmtId="3">
      <sharedItems containsString="0" containsBlank="1" containsNumber="1" minValue="0" maxValue="383948"/>
    </cacheField>
    <cacheField name="new-Summer Undg SCH" numFmtId="3">
      <sharedItems containsString="0" containsBlank="1" containsNumber="1" minValue="0" maxValue="712869.5"/>
    </cacheField>
    <cacheField name="old-Fall Undg SCH" numFmtId="3">
      <sharedItems containsString="0" containsBlank="1" containsNumber="1" minValue="1072" maxValue="1340448"/>
    </cacheField>
    <cacheField name="new-Fall Undg SCH" numFmtId="3">
      <sharedItems containsString="0" containsBlank="1" containsNumber="1" minValue="0" maxValue="3809788"/>
    </cacheField>
    <cacheField name="Old-Total Undg SCH" numFmtId="3">
      <sharedItems containsString="0" containsBlank="1" containsNumber="1" minValue="0" maxValue="2916571"/>
    </cacheField>
    <cacheField name="Old-Total Undg SCH FTE" numFmtId="3">
      <sharedItems containsString="0" containsBlank="1" containsNumber="1" minValue="0" maxValue="97219.03333333334"/>
    </cacheField>
    <cacheField name="New-Total Undg SCH" numFmtId="3">
      <sharedItems containsString="0" containsBlank="1" containsNumber="1" minValue="0" maxValue="1463404"/>
    </cacheField>
    <cacheField name="New-Total Undg SCH FTE" numFmtId="3">
      <sharedItems containsString="0" containsBlank="1" containsNumber="1" minValue="0" maxValue="48780.133333333331"/>
    </cacheField>
    <cacheField name="Old-Total HS SCH" numFmtId="3">
      <sharedItems containsString="0" containsBlank="1" containsNumber="1" minValue="0" maxValue="253475"/>
    </cacheField>
    <cacheField name="New-Total HS SCH" numFmtId="3">
      <sharedItems containsString="0" containsBlank="1" containsNumber="1" minValue="0" maxValue="85589"/>
    </cacheField>
    <cacheField name="Old-Total Undg SCH2" numFmtId="3">
      <sharedItems containsString="0" containsBlank="1" containsNumber="1" minValue="0" maxValue="2916571"/>
    </cacheField>
    <cacheField name="New-Total Undg SCH2" numFmtId="3">
      <sharedItems containsString="0" containsBlank="1" containsNumber="1" minValue="0" maxValue="1463404"/>
    </cacheField>
    <cacheField name="old-Winter Undg CH" numFmtId="3">
      <sharedItems containsString="0" containsBlank="1" containsNumber="1" containsInteger="1" minValue="0" maxValue="696050"/>
    </cacheField>
    <cacheField name="new-Winter Undg CH" numFmtId="3">
      <sharedItems containsString="0" containsBlank="1" containsNumber="1" containsInteger="1" minValue="0" maxValue="846495"/>
    </cacheField>
    <cacheField name="old-Spring Undg CH" numFmtId="3">
      <sharedItems containsString="0" containsBlank="1" containsNumber="1" minValue="0" maxValue="3045387"/>
    </cacheField>
    <cacheField name="new-Spring Undg CH" numFmtId="3">
      <sharedItems containsString="0" containsBlank="1" containsNumber="1" minValue="0" maxValue="3184728"/>
    </cacheField>
    <cacheField name="old-Summer Undg CH" numFmtId="3">
      <sharedItems containsBlank="1" containsMixedTypes="1" containsNumber="1" containsInteger="1" minValue="0" maxValue="2796873"/>
    </cacheField>
    <cacheField name="new-Summer Undg CH" numFmtId="3">
      <sharedItems containsString="0" containsBlank="1" containsNumber="1" containsInteger="1" minValue="0" maxValue="2497876"/>
    </cacheField>
    <cacheField name="old-Fall Undg CH" numFmtId="3">
      <sharedItems containsString="0" containsBlank="1" containsNumber="1" minValue="0" maxValue="2959024"/>
    </cacheField>
    <cacheField name="new-Fall Undg CH" numFmtId="3">
      <sharedItems containsString="0" containsBlank="1" containsNumber="1" minValue="0" maxValue="2087029"/>
    </cacheField>
    <cacheField name="Old-Total Undg CH" numFmtId="3">
      <sharedItems containsString="0" containsBlank="1" containsNumber="1" minValue="0" maxValue="8801284"/>
    </cacheField>
    <cacheField name="Old-Total Undg CH FTE" numFmtId="3">
      <sharedItems containsString="0" containsBlank="1" containsNumber="1" minValue="0" maxValue="9779.2044444444437"/>
    </cacheField>
    <cacheField name="New-Total Undg CH" numFmtId="3">
      <sharedItems containsString="0" containsBlank="1" containsNumber="1" minValue="0" maxValue="7769633"/>
    </cacheField>
    <cacheField name="New-Total Undg CH FTE" numFmtId="3">
      <sharedItems containsString="0" containsBlank="1" containsNumber="1" minValue="0" maxValue="8632.9255555555555"/>
    </cacheField>
    <cacheField name="Old-Total HS CH" numFmtId="3">
      <sharedItems containsString="0" containsBlank="1" containsNumber="1" containsInteger="1" minValue="0" maxValue="131644"/>
    </cacheField>
    <cacheField name="New-Total HS CH" numFmtId="3">
      <sharedItems containsString="0" containsBlank="1" containsNumber="1" containsInteger="1" minValue="0" maxValue="113601"/>
    </cacheField>
    <cacheField name="Old-Total Undg CH2" numFmtId="3">
      <sharedItems containsString="0" containsBlank="1" containsNumber="1" containsInteger="1" minValue="0" maxValue="8801284"/>
    </cacheField>
    <cacheField name="New-Total Undg CH2" numFmtId="3">
      <sharedItems containsString="0" containsBlank="1" containsNumber="1" containsInteger="1" minValue="0" maxValue="7769633"/>
    </cacheField>
    <cacheField name="New-Total HSH" numFmtId="0" formula="'New-Total HS SCH'+'New-Total HS CH'" databaseField="0"/>
    <cacheField name="New-Total UGH" numFmtId="0" formula="'New-Total Undg SCH2'+'New-Total Undg CH2'" databaseField="0"/>
    <cacheField name="New-HS % of Total" numFmtId="0" formula="IF('New-Total UGH'&gt;0,('New-Total HSH'/'New-Total UGH'))" databaseField="0"/>
    <cacheField name="Old-HS % of Total" numFmtId="0" formula="IF('Old-Total HSH'&gt;0,('Old-Total HSH'/'Old-Total UGH'),)" databaseField="0"/>
    <cacheField name="Category2" numFmtId="0" databaseField="0">
      <fieldGroup base="3">
        <discretePr count="20">
          <x v="4"/>
          <x v="4"/>
          <x v="4"/>
          <x v="4"/>
          <x v="4"/>
          <x v="4"/>
          <x v="5"/>
          <x v="5"/>
          <x v="5"/>
          <x v="6"/>
          <x v="6"/>
          <x v="5"/>
          <x v="0"/>
          <x v="6"/>
          <x v="7"/>
          <x v="8"/>
          <x v="1"/>
          <x v="2"/>
          <x v="9"/>
          <x v="3"/>
        </discretePr>
        <groupItems count="10">
          <n v="15"/>
          <s v="10b"/>
          <s v="11b"/>
          <n v="11"/>
          <s v="Group1"/>
          <s v="Group2"/>
          <s v="Group3"/>
          <s v="08b"/>
          <s v="09b"/>
          <m/>
        </groupItems>
      </fieldGroup>
    </cacheField>
    <cacheField name="Old-Total UGH" numFmtId="0" formula="'Old-Total Undg SCH2'+'Old-Total Undg CH2'" databaseField="0"/>
    <cacheField name="Old-Total HSH" numFmtId="0" formula="'Old-Total HS SCH'+'Old-Total HS CH'" databaseField="0"/>
    <cacheField name="HS % Change" numFmtId="0" formula="'New-HS % of Total'-'Old-HS % of Total'" databaseField="0"/>
  </cacheFields>
</pivotCacheDefinition>
</file>

<file path=xl/pivotCache/pivotCacheRecords1.xml><?xml version="1.0" encoding="utf-8"?>
<pivotCacheRecords xmlns="http://schemas.openxmlformats.org/spreadsheetml/2006/main" xmlns:r="http://schemas.openxmlformats.org/officeDocument/2006/relationships" count="726">
  <r>
    <x v="0"/>
    <s v="Auburn University"/>
    <n v="100858"/>
    <x v="0"/>
    <s v="sem"/>
    <m/>
    <m/>
    <m/>
    <n v="246206"/>
    <n v="249991"/>
    <n v="58930"/>
    <n v="57837"/>
    <n v="272230"/>
    <n v="271948"/>
    <n v="577366"/>
    <n v="19245.533333333333"/>
    <n v="579776"/>
    <n v="19325.866666666665"/>
    <m/>
    <m/>
    <n v="0"/>
    <n v="0"/>
    <m/>
    <m/>
    <m/>
    <m/>
    <m/>
    <m/>
    <m/>
    <m/>
    <n v="0"/>
    <n v="0"/>
    <n v="0"/>
    <n v="0"/>
    <m/>
    <m/>
    <n v="0"/>
    <n v="0"/>
    <m/>
    <m/>
    <n v="32245"/>
    <n v="33131"/>
    <n v="16517"/>
    <n v="17606"/>
    <n v="35059"/>
    <n v="36303"/>
    <n v="83821"/>
    <n v="3492.5416666666665"/>
    <n v="87040"/>
    <n v="3626.6666666666665"/>
    <n v="22738.075000000001"/>
    <n v="22952.533333333333"/>
  </r>
  <r>
    <x v="0"/>
    <s v="University of Alabama "/>
    <n v="100751"/>
    <x v="0"/>
    <s v="sem"/>
    <m/>
    <m/>
    <m/>
    <n v="269582"/>
    <n v="289905"/>
    <n v="63093"/>
    <n v="61623"/>
    <n v="303425"/>
    <n v="321443"/>
    <n v="636100"/>
    <n v="21203.333333333332"/>
    <n v="672971"/>
    <n v="22432.366666666665"/>
    <m/>
    <m/>
    <n v="0"/>
    <n v="0"/>
    <m/>
    <m/>
    <m/>
    <m/>
    <m/>
    <m/>
    <m/>
    <m/>
    <n v="0"/>
    <n v="0"/>
    <n v="0"/>
    <n v="0"/>
    <m/>
    <m/>
    <n v="0"/>
    <n v="0"/>
    <m/>
    <m/>
    <n v="38044"/>
    <n v="38852"/>
    <n v="12411"/>
    <n v="11523"/>
    <n v="38134"/>
    <n v="41325"/>
    <n v="88589"/>
    <n v="3691.2083333333335"/>
    <n v="91700"/>
    <n v="3820.8333333333335"/>
    <n v="24894.541666666664"/>
    <n v="26253.199999999997"/>
  </r>
  <r>
    <x v="0"/>
    <s v="University of Alabama at Birmingham"/>
    <n v="100663"/>
    <x v="0"/>
    <s v="sem"/>
    <m/>
    <m/>
    <m/>
    <n v="106612"/>
    <n v="104786"/>
    <n v="32388"/>
    <n v="30996"/>
    <n v="112683"/>
    <n v="117733"/>
    <n v="251683"/>
    <n v="8389.4333333333325"/>
    <n v="253515"/>
    <n v="8450.5"/>
    <m/>
    <m/>
    <n v="0"/>
    <n v="0"/>
    <m/>
    <m/>
    <m/>
    <m/>
    <m/>
    <m/>
    <m/>
    <m/>
    <n v="0"/>
    <n v="0"/>
    <n v="0"/>
    <n v="0"/>
    <m/>
    <m/>
    <n v="0"/>
    <n v="0"/>
    <m/>
    <m/>
    <n v="15721"/>
    <n v="16075"/>
    <n v="11153"/>
    <n v="11366"/>
    <n v="16398"/>
    <n v="17141"/>
    <n v="43272"/>
    <n v="1803"/>
    <n v="44582"/>
    <n v="1857.5833333333333"/>
    <n v="10192.433333333332"/>
    <n v="10308.083333333334"/>
  </r>
  <r>
    <x v="0"/>
    <s v="University of Alabama in Huntsville"/>
    <n v="100706"/>
    <x v="1"/>
    <s v="sem"/>
    <m/>
    <m/>
    <m/>
    <n v="62323"/>
    <n v="66016"/>
    <n v="17644"/>
    <n v="18277"/>
    <n v="69817"/>
    <n v="73595"/>
    <n v="149784"/>
    <n v="4992.8"/>
    <n v="157888"/>
    <n v="5262.9333333333334"/>
    <m/>
    <m/>
    <n v="0"/>
    <n v="0"/>
    <m/>
    <m/>
    <m/>
    <m/>
    <m/>
    <m/>
    <m/>
    <m/>
    <n v="0"/>
    <n v="0"/>
    <n v="0"/>
    <n v="0"/>
    <m/>
    <m/>
    <n v="0"/>
    <n v="0"/>
    <m/>
    <m/>
    <n v="8068"/>
    <n v="7936"/>
    <n v="4341"/>
    <n v="4253"/>
    <n v="8837"/>
    <n v="8952"/>
    <n v="21246"/>
    <n v="885.25"/>
    <n v="21141"/>
    <n v="880.875"/>
    <n v="5878.05"/>
    <n v="6143.8083333333334"/>
  </r>
  <r>
    <x v="0"/>
    <s v="Alabama Agricultural &amp; Mechanical University"/>
    <n v="100654"/>
    <x v="2"/>
    <s v="sem"/>
    <m/>
    <m/>
    <m/>
    <n v="61417"/>
    <n v="59779"/>
    <n v="9079"/>
    <n v="10350"/>
    <n v="64735"/>
    <n v="64451"/>
    <n v="135231"/>
    <n v="4507.7"/>
    <n v="134580"/>
    <n v="4486"/>
    <m/>
    <m/>
    <n v="0"/>
    <n v="0"/>
    <m/>
    <m/>
    <m/>
    <m/>
    <m/>
    <m/>
    <m/>
    <m/>
    <n v="0"/>
    <n v="0"/>
    <n v="0"/>
    <n v="0"/>
    <m/>
    <m/>
    <n v="0"/>
    <n v="0"/>
    <m/>
    <m/>
    <n v="6964"/>
    <n v="6072"/>
    <n v="3804"/>
    <n v="3392"/>
    <n v="6148"/>
    <n v="6070"/>
    <n v="16916"/>
    <n v="704.83333333333337"/>
    <n v="15534"/>
    <n v="647.25"/>
    <n v="5212.5333333333328"/>
    <n v="5133.25"/>
  </r>
  <r>
    <x v="0"/>
    <s v="Jacksonville State University "/>
    <n v="101480"/>
    <x v="2"/>
    <s v="sem"/>
    <m/>
    <m/>
    <m/>
    <n v="86108"/>
    <n v="84956"/>
    <n v="24175"/>
    <n v="23262"/>
    <n v="95212"/>
    <n v="91355"/>
    <n v="205495"/>
    <n v="6849.833333333333"/>
    <n v="199573"/>
    <n v="6652.4333333333334"/>
    <m/>
    <m/>
    <n v="0"/>
    <n v="0"/>
    <m/>
    <m/>
    <m/>
    <m/>
    <m/>
    <m/>
    <m/>
    <m/>
    <n v="0"/>
    <n v="0"/>
    <n v="0"/>
    <n v="0"/>
    <m/>
    <m/>
    <n v="0"/>
    <n v="0"/>
    <m/>
    <m/>
    <n v="8244"/>
    <n v="9512"/>
    <n v="6629"/>
    <n v="6368"/>
    <n v="6879"/>
    <n v="9331"/>
    <n v="21752"/>
    <n v="906.33333333333337"/>
    <n v="25211"/>
    <n v="1050.4583333333333"/>
    <n v="7756.1666666666661"/>
    <n v="7702.8916666666664"/>
  </r>
  <r>
    <x v="0"/>
    <s v="Troy University"/>
    <n v="102368"/>
    <x v="2"/>
    <s v="sem"/>
    <m/>
    <m/>
    <m/>
    <n v="125365"/>
    <n v="136709"/>
    <n v="35773"/>
    <n v="38293"/>
    <n v="142550"/>
    <n v="156277"/>
    <n v="303688"/>
    <n v="10122.933333333332"/>
    <n v="331279"/>
    <n v="11042.633333333333"/>
    <m/>
    <m/>
    <n v="0"/>
    <n v="0"/>
    <m/>
    <m/>
    <m/>
    <m/>
    <m/>
    <m/>
    <m/>
    <m/>
    <n v="0"/>
    <n v="0"/>
    <n v="0"/>
    <n v="0"/>
    <m/>
    <m/>
    <n v="0"/>
    <n v="0"/>
    <m/>
    <m/>
    <n v="24503"/>
    <n v="18471"/>
    <n v="9352"/>
    <n v="8525"/>
    <n v="18935"/>
    <n v="19087"/>
    <n v="52790"/>
    <n v="2199.5833333333335"/>
    <n v="46083"/>
    <n v="1920.125"/>
    <n v="12322.516666666666"/>
    <n v="12962.758333333333"/>
  </r>
  <r>
    <x v="0"/>
    <s v="University of South Alabama"/>
    <n v="102094"/>
    <x v="2"/>
    <s v="sem"/>
    <m/>
    <m/>
    <m/>
    <n v="107967"/>
    <n v="111866"/>
    <n v="29063"/>
    <n v="27440"/>
    <n v="121086"/>
    <n v="126297"/>
    <n v="258116"/>
    <n v="8603.8666666666668"/>
    <n v="265603"/>
    <n v="8853.4333333333325"/>
    <m/>
    <m/>
    <n v="0"/>
    <n v="0"/>
    <m/>
    <m/>
    <m/>
    <m/>
    <m/>
    <m/>
    <m/>
    <m/>
    <n v="0"/>
    <n v="0"/>
    <n v="0"/>
    <n v="0"/>
    <m/>
    <m/>
    <n v="0"/>
    <n v="0"/>
    <m/>
    <m/>
    <n v="8213"/>
    <n v="7291"/>
    <n v="5188"/>
    <n v="3913"/>
    <n v="7729"/>
    <n v="7573"/>
    <n v="21130"/>
    <n v="880.41666666666663"/>
    <n v="18777"/>
    <n v="782.375"/>
    <n v="9484.2833333333328"/>
    <n v="9635.8083333333325"/>
  </r>
  <r>
    <x v="0"/>
    <s v="Alabama State University "/>
    <n v="100724"/>
    <x v="3"/>
    <s v="sem"/>
    <m/>
    <m/>
    <m/>
    <n v="62082"/>
    <n v="62697"/>
    <n v="13211"/>
    <n v="13237"/>
    <n v="65251"/>
    <n v="66397"/>
    <n v="140544"/>
    <n v="4684.8"/>
    <n v="142331"/>
    <n v="4744.3666666666668"/>
    <m/>
    <m/>
    <n v="0"/>
    <n v="0"/>
    <m/>
    <m/>
    <m/>
    <m/>
    <m/>
    <m/>
    <m/>
    <m/>
    <n v="0"/>
    <n v="0"/>
    <n v="0"/>
    <n v="0"/>
    <m/>
    <m/>
    <n v="0"/>
    <n v="0"/>
    <m/>
    <m/>
    <n v="6574"/>
    <n v="7009"/>
    <n v="4821"/>
    <n v="3952"/>
    <n v="5921"/>
    <n v="5919"/>
    <n v="17316"/>
    <n v="721.5"/>
    <n v="16880"/>
    <n v="703.33333333333337"/>
    <n v="5406.3"/>
    <n v="5447.7"/>
  </r>
  <r>
    <x v="0"/>
    <s v="Auburn University at Montgomery"/>
    <n v="100830"/>
    <x v="3"/>
    <s v="sem"/>
    <m/>
    <m/>
    <m/>
    <n v="46131"/>
    <n v="46766"/>
    <n v="16461"/>
    <n v="16243"/>
    <n v="51167"/>
    <n v="54460"/>
    <n v="113759"/>
    <n v="3791.9666666666667"/>
    <n v="117469"/>
    <n v="3915.6333333333332"/>
    <m/>
    <m/>
    <n v="0"/>
    <n v="0"/>
    <m/>
    <m/>
    <m/>
    <m/>
    <m/>
    <m/>
    <m/>
    <m/>
    <n v="0"/>
    <n v="0"/>
    <n v="0"/>
    <n v="0"/>
    <m/>
    <m/>
    <n v="0"/>
    <n v="0"/>
    <m/>
    <m/>
    <n v="4918"/>
    <n v="5043"/>
    <n v="3053"/>
    <n v="3117"/>
    <n v="5353"/>
    <n v="5557"/>
    <n v="13324"/>
    <n v="555.16666666666663"/>
    <n v="13717"/>
    <n v="571.54166666666663"/>
    <n v="4347.1333333333332"/>
    <n v="4487.1750000000002"/>
  </r>
  <r>
    <x v="0"/>
    <s v="University of North Alabama"/>
    <n v="101879"/>
    <x v="3"/>
    <s v="sem"/>
    <m/>
    <m/>
    <m/>
    <n v="67070"/>
    <n v="62534"/>
    <n v="13519"/>
    <n v="13569"/>
    <n v="72521"/>
    <n v="77132"/>
    <n v="153110"/>
    <n v="5103.666666666667"/>
    <n v="153235"/>
    <n v="5107.833333333333"/>
    <m/>
    <m/>
    <n v="0"/>
    <n v="0"/>
    <m/>
    <m/>
    <m/>
    <m/>
    <m/>
    <m/>
    <m/>
    <m/>
    <n v="0"/>
    <n v="0"/>
    <n v="0"/>
    <n v="0"/>
    <m/>
    <m/>
    <n v="0"/>
    <n v="0"/>
    <m/>
    <m/>
    <n v="9596"/>
    <n v="6593"/>
    <n v="5952"/>
    <n v="3279"/>
    <n v="7839"/>
    <n v="6319"/>
    <n v="23387"/>
    <n v="974.45833333333337"/>
    <n v="16191"/>
    <n v="674.625"/>
    <n v="6078.125"/>
    <n v="5782.458333333333"/>
  </r>
  <r>
    <x v="0"/>
    <s v="University of Montevallo"/>
    <n v="101709"/>
    <x v="4"/>
    <s v="sem"/>
    <m/>
    <m/>
    <m/>
    <n v="30842"/>
    <n v="32174"/>
    <n v="6302"/>
    <n v="6714"/>
    <n v="34234"/>
    <n v="34564"/>
    <n v="71378"/>
    <n v="2379.2666666666669"/>
    <n v="73452"/>
    <n v="2448.4"/>
    <m/>
    <m/>
    <n v="0"/>
    <n v="0"/>
    <m/>
    <m/>
    <m/>
    <m/>
    <m/>
    <m/>
    <m/>
    <m/>
    <n v="0"/>
    <n v="0"/>
    <n v="0"/>
    <n v="0"/>
    <m/>
    <m/>
    <n v="0"/>
    <n v="0"/>
    <m/>
    <m/>
    <n v="2544"/>
    <n v="2899"/>
    <n v="2335"/>
    <n v="2563"/>
    <n v="2852"/>
    <n v="3213"/>
    <n v="7731"/>
    <n v="322.125"/>
    <n v="8675"/>
    <n v="361.45833333333331"/>
    <n v="2701.3916666666669"/>
    <n v="2809.8583333333336"/>
  </r>
  <r>
    <x v="0"/>
    <s v="University of West Alabama"/>
    <n v="101587"/>
    <x v="4"/>
    <s v="sem"/>
    <m/>
    <m/>
    <m/>
    <n v="20971"/>
    <n v="22376"/>
    <n v="5664"/>
    <n v="4931"/>
    <n v="23435"/>
    <n v="24792"/>
    <n v="50070"/>
    <n v="1669"/>
    <n v="52099"/>
    <n v="1736.6333333333334"/>
    <m/>
    <m/>
    <n v="0"/>
    <n v="0"/>
    <m/>
    <m/>
    <m/>
    <m/>
    <m/>
    <m/>
    <m/>
    <m/>
    <n v="0"/>
    <n v="0"/>
    <n v="0"/>
    <n v="0"/>
    <m/>
    <m/>
    <n v="0"/>
    <n v="0"/>
    <m/>
    <m/>
    <n v="10646"/>
    <n v="37069"/>
    <n v="12468"/>
    <n v="12281"/>
    <n v="18708"/>
    <n v="36975"/>
    <n v="41822"/>
    <n v="1742.5833333333333"/>
    <n v="86325"/>
    <n v="3596.875"/>
    <n v="3411.583333333333"/>
    <n v="5333.5083333333332"/>
  </r>
  <r>
    <x v="0"/>
    <s v="Athens State University"/>
    <n v="100812"/>
    <x v="5"/>
    <s v="sem"/>
    <m/>
    <m/>
    <m/>
    <n v="28160"/>
    <n v="30160"/>
    <n v="19732"/>
    <n v="20119"/>
    <n v="31799"/>
    <n v="33420"/>
    <n v="79691"/>
    <n v="2656.3666666666668"/>
    <n v="83699"/>
    <n v="2789.9666666666667"/>
    <m/>
    <m/>
    <n v="0"/>
    <n v="0"/>
    <m/>
    <m/>
    <m/>
    <m/>
    <m/>
    <m/>
    <m/>
    <m/>
    <n v="0"/>
    <n v="0"/>
    <n v="0"/>
    <n v="0"/>
    <m/>
    <m/>
    <n v="0"/>
    <n v="0"/>
    <m/>
    <m/>
    <m/>
    <m/>
    <m/>
    <m/>
    <m/>
    <m/>
    <n v="0"/>
    <n v="0"/>
    <n v="0"/>
    <n v="0"/>
    <n v="2656.3666666666668"/>
    <n v="2789.9666666666667"/>
  </r>
  <r>
    <x v="0"/>
    <s v="Jefferson State Community College"/>
    <n v="101505"/>
    <x v="6"/>
    <s v="sem"/>
    <m/>
    <m/>
    <m/>
    <n v="65302"/>
    <n v="68896"/>
    <n v="34415"/>
    <n v="37319"/>
    <n v="70740"/>
    <n v="72868"/>
    <n v="170457"/>
    <n v="5681.9"/>
    <n v="179083"/>
    <n v="5969.4333333333334"/>
    <m/>
    <m/>
    <n v="0"/>
    <n v="0"/>
    <m/>
    <m/>
    <m/>
    <m/>
    <m/>
    <m/>
    <m/>
    <m/>
    <n v="0"/>
    <n v="0"/>
    <n v="0"/>
    <n v="0"/>
    <m/>
    <m/>
    <n v="0"/>
    <n v="0"/>
    <m/>
    <m/>
    <m/>
    <m/>
    <m/>
    <m/>
    <m/>
    <m/>
    <n v="0"/>
    <n v="0"/>
    <n v="0"/>
    <n v="0"/>
    <n v="5681.9"/>
    <n v="5969.4333333333334"/>
  </r>
  <r>
    <x v="0"/>
    <s v="John C. Calhoun State Community College "/>
    <n v="101514"/>
    <x v="6"/>
    <s v="sem"/>
    <m/>
    <m/>
    <m/>
    <n v="80505"/>
    <n v="78829"/>
    <n v="34630"/>
    <n v="39019"/>
    <n v="89719"/>
    <n v="102999"/>
    <n v="204854"/>
    <n v="6828.4666666666662"/>
    <n v="220847"/>
    <n v="7361.5666666666666"/>
    <m/>
    <m/>
    <n v="0"/>
    <n v="0"/>
    <m/>
    <m/>
    <m/>
    <m/>
    <m/>
    <m/>
    <m/>
    <m/>
    <n v="0"/>
    <n v="0"/>
    <n v="0"/>
    <n v="0"/>
    <m/>
    <m/>
    <n v="0"/>
    <n v="0"/>
    <m/>
    <m/>
    <m/>
    <m/>
    <m/>
    <m/>
    <m/>
    <m/>
    <n v="0"/>
    <n v="0"/>
    <n v="0"/>
    <n v="0"/>
    <n v="6828.4666666666662"/>
    <n v="7361.5666666666666"/>
  </r>
  <r>
    <x v="0"/>
    <s v="Bevill State Community College"/>
    <n v="102429"/>
    <x v="7"/>
    <s v="sem"/>
    <m/>
    <m/>
    <m/>
    <n v="42974"/>
    <n v="41348"/>
    <n v="19778"/>
    <n v="19753"/>
    <n v="43155"/>
    <n v="48671"/>
    <n v="105907"/>
    <n v="3530.2333333333331"/>
    <n v="109772"/>
    <n v="3659.0666666666666"/>
    <m/>
    <m/>
    <n v="0"/>
    <n v="0"/>
    <m/>
    <m/>
    <m/>
    <m/>
    <m/>
    <m/>
    <m/>
    <m/>
    <n v="0"/>
    <n v="0"/>
    <n v="0"/>
    <n v="0"/>
    <m/>
    <m/>
    <n v="0"/>
    <n v="0"/>
    <m/>
    <m/>
    <m/>
    <m/>
    <m/>
    <m/>
    <m/>
    <m/>
    <n v="0"/>
    <n v="0"/>
    <n v="0"/>
    <n v="0"/>
    <n v="3530.2333333333331"/>
    <n v="3659.0666666666666"/>
  </r>
  <r>
    <x v="0"/>
    <s v="Bishop State Community College"/>
    <n v="102030"/>
    <x v="7"/>
    <s v="sem"/>
    <m/>
    <m/>
    <m/>
    <n v="22251"/>
    <n v="30359"/>
    <n v="8717"/>
    <n v="12997"/>
    <n v="27823"/>
    <n v="32878"/>
    <n v="58791"/>
    <n v="1959.7"/>
    <n v="76234"/>
    <n v="2541.1333333333332"/>
    <m/>
    <m/>
    <n v="0"/>
    <n v="0"/>
    <m/>
    <m/>
    <m/>
    <m/>
    <m/>
    <m/>
    <m/>
    <m/>
    <n v="0"/>
    <n v="0"/>
    <n v="0"/>
    <n v="0"/>
    <m/>
    <m/>
    <n v="0"/>
    <n v="0"/>
    <m/>
    <m/>
    <m/>
    <m/>
    <m/>
    <m/>
    <m/>
    <m/>
    <n v="0"/>
    <n v="0"/>
    <n v="0"/>
    <n v="0"/>
    <n v="1959.7"/>
    <n v="2541.1333333333332"/>
  </r>
  <r>
    <x v="0"/>
    <s v="Gadsden State Community College"/>
    <n v="101240"/>
    <x v="7"/>
    <s v="sem"/>
    <m/>
    <m/>
    <m/>
    <n v="53216"/>
    <n v="61528"/>
    <n v="27380"/>
    <n v="32487"/>
    <n v="61052"/>
    <n v="74588"/>
    <n v="141648"/>
    <n v="4721.6000000000004"/>
    <n v="168603"/>
    <n v="5620.1"/>
    <m/>
    <m/>
    <n v="0"/>
    <n v="0"/>
    <m/>
    <m/>
    <m/>
    <m/>
    <m/>
    <m/>
    <m/>
    <m/>
    <n v="0"/>
    <n v="0"/>
    <n v="0"/>
    <n v="0"/>
    <m/>
    <m/>
    <n v="0"/>
    <n v="0"/>
    <m/>
    <m/>
    <m/>
    <m/>
    <m/>
    <m/>
    <m/>
    <m/>
    <n v="0"/>
    <n v="0"/>
    <n v="0"/>
    <n v="0"/>
    <n v="4721.6000000000004"/>
    <n v="5620.1"/>
  </r>
  <r>
    <x v="0"/>
    <s v="George C. Wallace State Community College - Dothan"/>
    <n v="101286"/>
    <x v="7"/>
    <s v="sem"/>
    <m/>
    <m/>
    <m/>
    <n v="35225"/>
    <n v="40226"/>
    <n v="21510"/>
    <n v="24555"/>
    <n v="40573"/>
    <n v="48899"/>
    <n v="97308"/>
    <n v="3243.6"/>
    <n v="113680"/>
    <n v="3789.3333333333335"/>
    <m/>
    <m/>
    <n v="0"/>
    <n v="0"/>
    <m/>
    <m/>
    <m/>
    <m/>
    <m/>
    <m/>
    <m/>
    <m/>
    <n v="0"/>
    <n v="0"/>
    <n v="0"/>
    <n v="0"/>
    <m/>
    <m/>
    <n v="0"/>
    <n v="0"/>
    <m/>
    <m/>
    <m/>
    <m/>
    <m/>
    <m/>
    <m/>
    <m/>
    <n v="0"/>
    <n v="0"/>
    <n v="0"/>
    <n v="0"/>
    <n v="3243.6"/>
    <n v="3789.3333333333335"/>
  </r>
  <r>
    <x v="0"/>
    <s v="James H. Faulkner State Community College"/>
    <n v="101161"/>
    <x v="7"/>
    <s v="sem"/>
    <m/>
    <m/>
    <m/>
    <n v="37198"/>
    <n v="38630"/>
    <n v="16171"/>
    <n v="18657"/>
    <n v="39679"/>
    <n v="47418"/>
    <n v="93048"/>
    <n v="3101.6"/>
    <n v="104705"/>
    <n v="3490.1666666666665"/>
    <m/>
    <m/>
    <n v="0"/>
    <n v="0"/>
    <m/>
    <m/>
    <m/>
    <m/>
    <m/>
    <m/>
    <m/>
    <m/>
    <n v="0"/>
    <n v="0"/>
    <n v="0"/>
    <n v="0"/>
    <m/>
    <m/>
    <n v="0"/>
    <n v="0"/>
    <m/>
    <m/>
    <m/>
    <m/>
    <m/>
    <m/>
    <m/>
    <m/>
    <n v="0"/>
    <n v="0"/>
    <n v="0"/>
    <n v="0"/>
    <n v="3101.6"/>
    <n v="3490.1666666666665"/>
  </r>
  <r>
    <x v="0"/>
    <s v="Lawson State Community College "/>
    <n v="101569"/>
    <x v="7"/>
    <s v="sem"/>
    <m/>
    <m/>
    <m/>
    <n v="31205"/>
    <n v="35942"/>
    <n v="14691"/>
    <n v="16469"/>
    <n v="36591"/>
    <n v="46227"/>
    <n v="82487"/>
    <n v="2749.5666666666666"/>
    <n v="98638"/>
    <n v="3287.9333333333334"/>
    <m/>
    <m/>
    <n v="0"/>
    <n v="0"/>
    <m/>
    <m/>
    <m/>
    <m/>
    <m/>
    <m/>
    <m/>
    <m/>
    <n v="0"/>
    <n v="0"/>
    <n v="0"/>
    <n v="0"/>
    <m/>
    <m/>
    <n v="0"/>
    <n v="0"/>
    <m/>
    <m/>
    <m/>
    <m/>
    <m/>
    <m/>
    <m/>
    <m/>
    <n v="0"/>
    <n v="0"/>
    <n v="0"/>
    <n v="0"/>
    <n v="2749.5666666666666"/>
    <n v="3287.9333333333334"/>
  </r>
  <r>
    <x v="0"/>
    <s v="Northwest-Shoals Community College"/>
    <n v="101736"/>
    <x v="7"/>
    <s v="sem"/>
    <m/>
    <m/>
    <m/>
    <n v="34598"/>
    <n v="36510"/>
    <n v="13352"/>
    <n v="15544"/>
    <n v="39307"/>
    <n v="45019"/>
    <n v="87257"/>
    <n v="2908.5666666666666"/>
    <n v="97073"/>
    <n v="3235.7666666666669"/>
    <m/>
    <m/>
    <n v="0"/>
    <n v="0"/>
    <m/>
    <m/>
    <m/>
    <m/>
    <m/>
    <m/>
    <m/>
    <m/>
    <n v="0"/>
    <n v="0"/>
    <n v="0"/>
    <n v="0"/>
    <m/>
    <m/>
    <n v="0"/>
    <n v="0"/>
    <m/>
    <m/>
    <m/>
    <m/>
    <m/>
    <m/>
    <m/>
    <m/>
    <n v="0"/>
    <n v="0"/>
    <n v="0"/>
    <n v="0"/>
    <n v="2908.5666666666666"/>
    <n v="3235.7666666666669"/>
  </r>
  <r>
    <x v="0"/>
    <s v="Shelton State Community College"/>
    <n v="102067"/>
    <x v="7"/>
    <s v="sem"/>
    <m/>
    <m/>
    <m/>
    <n v="48539"/>
    <n v="53851"/>
    <n v="24349"/>
    <n v="27957"/>
    <n v="57506"/>
    <n v="61505"/>
    <n v="130394"/>
    <n v="4346.4666666666662"/>
    <n v="143313"/>
    <n v="4777.1000000000004"/>
    <m/>
    <m/>
    <n v="0"/>
    <n v="0"/>
    <m/>
    <m/>
    <m/>
    <m/>
    <m/>
    <m/>
    <m/>
    <m/>
    <n v="0"/>
    <n v="0"/>
    <n v="0"/>
    <n v="0"/>
    <m/>
    <m/>
    <n v="0"/>
    <n v="0"/>
    <m/>
    <m/>
    <m/>
    <m/>
    <m/>
    <m/>
    <m/>
    <m/>
    <n v="0"/>
    <n v="0"/>
    <n v="0"/>
    <n v="0"/>
    <n v="4346.4666666666662"/>
    <n v="4777.1000000000004"/>
  </r>
  <r>
    <x v="0"/>
    <s v="Southern Union State Community College"/>
    <n v="251260"/>
    <x v="7"/>
    <s v="sem"/>
    <m/>
    <m/>
    <m/>
    <n v="50763"/>
    <n v="52903"/>
    <n v="23506"/>
    <n v="24881"/>
    <n v="55765"/>
    <n v="56708"/>
    <n v="130034"/>
    <n v="4334.4666666666662"/>
    <n v="134492"/>
    <n v="4483.0666666666666"/>
    <m/>
    <m/>
    <n v="0"/>
    <n v="0"/>
    <m/>
    <m/>
    <m/>
    <m/>
    <m/>
    <m/>
    <m/>
    <m/>
    <n v="0"/>
    <n v="0"/>
    <n v="0"/>
    <n v="0"/>
    <m/>
    <m/>
    <n v="0"/>
    <n v="0"/>
    <m/>
    <m/>
    <m/>
    <m/>
    <m/>
    <m/>
    <m/>
    <m/>
    <n v="0"/>
    <n v="0"/>
    <n v="0"/>
    <n v="0"/>
    <n v="4334.4666666666662"/>
    <n v="4483.0666666666666"/>
  </r>
  <r>
    <x v="0"/>
    <s v="Wallace Community College - Hanceville"/>
    <n v="101295"/>
    <x v="7"/>
    <s v="sem"/>
    <m/>
    <m/>
    <m/>
    <n v="56083"/>
    <n v="60100"/>
    <n v="25950"/>
    <n v="29288"/>
    <n v="59763"/>
    <n v="67937"/>
    <n v="141796"/>
    <n v="4726.5333333333338"/>
    <n v="157325"/>
    <n v="5244.166666666667"/>
    <m/>
    <m/>
    <n v="0"/>
    <n v="0"/>
    <m/>
    <m/>
    <m/>
    <m/>
    <m/>
    <m/>
    <m/>
    <m/>
    <n v="0"/>
    <n v="0"/>
    <n v="0"/>
    <n v="0"/>
    <m/>
    <m/>
    <n v="0"/>
    <n v="0"/>
    <m/>
    <m/>
    <m/>
    <m/>
    <m/>
    <m/>
    <m/>
    <m/>
    <n v="0"/>
    <n v="0"/>
    <n v="0"/>
    <n v="0"/>
    <n v="4726.5333333333338"/>
    <n v="5244.166666666667"/>
  </r>
  <r>
    <x v="0"/>
    <s v="Alabama Southern Community College"/>
    <n v="101949"/>
    <x v="8"/>
    <s v="sem"/>
    <m/>
    <m/>
    <m/>
    <n v="12753"/>
    <n v="13838"/>
    <n v="5880"/>
    <n v="6275"/>
    <n v="14803"/>
    <n v="15998"/>
    <n v="33436"/>
    <n v="1114.5333333333333"/>
    <n v="36111"/>
    <n v="1203.7"/>
    <m/>
    <m/>
    <n v="0"/>
    <n v="0"/>
    <m/>
    <m/>
    <m/>
    <m/>
    <m/>
    <m/>
    <m/>
    <m/>
    <n v="0"/>
    <n v="0"/>
    <n v="0"/>
    <n v="0"/>
    <m/>
    <m/>
    <n v="0"/>
    <n v="0"/>
    <m/>
    <m/>
    <m/>
    <m/>
    <m/>
    <m/>
    <m/>
    <m/>
    <n v="0"/>
    <n v="0"/>
    <n v="0"/>
    <n v="0"/>
    <n v="1114.5333333333333"/>
    <n v="1203.7"/>
  </r>
  <r>
    <x v="0"/>
    <s v="Central Alabama Community College"/>
    <n v="100760"/>
    <x v="8"/>
    <s v="sem"/>
    <m/>
    <m/>
    <m/>
    <n v="22591"/>
    <n v="23238"/>
    <n v="10852"/>
    <n v="12159"/>
    <n v="23790"/>
    <n v="26435"/>
    <n v="57233"/>
    <n v="1907.7666666666667"/>
    <n v="61832"/>
    <n v="2061.0666666666666"/>
    <m/>
    <m/>
    <n v="0"/>
    <n v="0"/>
    <m/>
    <m/>
    <m/>
    <m/>
    <m/>
    <m/>
    <m/>
    <m/>
    <n v="0"/>
    <n v="0"/>
    <n v="0"/>
    <n v="0"/>
    <m/>
    <m/>
    <n v="0"/>
    <n v="0"/>
    <m/>
    <m/>
    <m/>
    <m/>
    <m/>
    <m/>
    <m/>
    <m/>
    <n v="0"/>
    <n v="0"/>
    <n v="0"/>
    <n v="0"/>
    <n v="1907.7666666666667"/>
    <n v="2061.0666666666666"/>
  </r>
  <r>
    <x v="0"/>
    <s v="Chattahoochee Valley State Community College "/>
    <n v="101028"/>
    <x v="8"/>
    <s v="sem"/>
    <m/>
    <m/>
    <m/>
    <n v="16915"/>
    <n v="19048"/>
    <n v="7416"/>
    <n v="8551"/>
    <n v="18628"/>
    <n v="18470"/>
    <n v="42959"/>
    <n v="1431.9666666666667"/>
    <n v="46069"/>
    <n v="1535.6333333333334"/>
    <m/>
    <m/>
    <n v="0"/>
    <n v="0"/>
    <m/>
    <m/>
    <m/>
    <m/>
    <m/>
    <m/>
    <m/>
    <m/>
    <n v="0"/>
    <n v="0"/>
    <n v="0"/>
    <n v="0"/>
    <m/>
    <m/>
    <n v="0"/>
    <n v="0"/>
    <m/>
    <m/>
    <m/>
    <m/>
    <m/>
    <m/>
    <m/>
    <m/>
    <n v="0"/>
    <n v="0"/>
    <n v="0"/>
    <n v="0"/>
    <n v="1431.9666666666667"/>
    <n v="1535.6333333333334"/>
  </r>
  <r>
    <x v="0"/>
    <s v="Enterprise-Ozark Community College"/>
    <n v="101143"/>
    <x v="8"/>
    <s v="sem"/>
    <m/>
    <m/>
    <m/>
    <n v="22691"/>
    <n v="25837"/>
    <n v="11692"/>
    <n v="14720"/>
    <n v="25571"/>
    <n v="32209"/>
    <n v="59954"/>
    <n v="1998.4666666666667"/>
    <n v="72766"/>
    <n v="2425.5333333333333"/>
    <m/>
    <m/>
    <n v="0"/>
    <n v="0"/>
    <m/>
    <m/>
    <m/>
    <m/>
    <m/>
    <m/>
    <m/>
    <m/>
    <n v="0"/>
    <n v="0"/>
    <n v="0"/>
    <n v="0"/>
    <m/>
    <m/>
    <n v="0"/>
    <n v="0"/>
    <m/>
    <m/>
    <m/>
    <m/>
    <m/>
    <m/>
    <m/>
    <m/>
    <n v="0"/>
    <n v="0"/>
    <n v="0"/>
    <n v="0"/>
    <n v="1998.4666666666667"/>
    <n v="2425.5333333333333"/>
  </r>
  <r>
    <x v="0"/>
    <s v="George Corley Wallace State Community College - Selma"/>
    <n v="101301"/>
    <x v="8"/>
    <s v="sem"/>
    <m/>
    <m/>
    <m/>
    <n v="19041"/>
    <n v="18982"/>
    <n v="13452"/>
    <n v="11621"/>
    <n v="20020"/>
    <n v="21374"/>
    <n v="52513"/>
    <n v="1750.4333333333334"/>
    <n v="51977"/>
    <n v="1732.5666666666666"/>
    <m/>
    <m/>
    <n v="0"/>
    <n v="0"/>
    <m/>
    <m/>
    <m/>
    <m/>
    <m/>
    <m/>
    <m/>
    <m/>
    <n v="0"/>
    <n v="0"/>
    <n v="0"/>
    <n v="0"/>
    <m/>
    <m/>
    <n v="0"/>
    <n v="0"/>
    <m/>
    <m/>
    <m/>
    <m/>
    <m/>
    <m/>
    <m/>
    <m/>
    <n v="0"/>
    <n v="0"/>
    <n v="0"/>
    <n v="0"/>
    <n v="1750.4333333333334"/>
    <n v="1732.5666666666666"/>
  </r>
  <r>
    <x v="0"/>
    <s v="Jefferson Davis Community College"/>
    <n v="101499"/>
    <x v="8"/>
    <s v="sem"/>
    <m/>
    <m/>
    <m/>
    <n v="12452"/>
    <n v="12674"/>
    <n v="6323"/>
    <n v="6068"/>
    <n v="12551"/>
    <n v="14497"/>
    <n v="31326"/>
    <n v="1044.2"/>
    <n v="33239"/>
    <n v="1107.9666666666667"/>
    <m/>
    <m/>
    <n v="0"/>
    <n v="0"/>
    <m/>
    <m/>
    <m/>
    <m/>
    <m/>
    <m/>
    <m/>
    <m/>
    <n v="0"/>
    <n v="0"/>
    <n v="0"/>
    <n v="0"/>
    <m/>
    <m/>
    <n v="0"/>
    <n v="0"/>
    <m/>
    <m/>
    <m/>
    <m/>
    <m/>
    <m/>
    <m/>
    <m/>
    <n v="0"/>
    <n v="0"/>
    <n v="0"/>
    <n v="0"/>
    <n v="1044.2"/>
    <n v="1107.9666666666667"/>
  </r>
  <r>
    <x v="0"/>
    <s v="Lurleen B. Wallace Community College "/>
    <n v="101602"/>
    <x v="8"/>
    <s v="sem"/>
    <m/>
    <m/>
    <m/>
    <n v="16301"/>
    <n v="16921"/>
    <n v="8088"/>
    <n v="9369"/>
    <n v="17684"/>
    <n v="19259"/>
    <n v="42073"/>
    <n v="1402.4333333333334"/>
    <n v="45549"/>
    <n v="1518.3"/>
    <m/>
    <m/>
    <n v="0"/>
    <n v="0"/>
    <m/>
    <m/>
    <m/>
    <m/>
    <m/>
    <m/>
    <m/>
    <m/>
    <n v="0"/>
    <n v="0"/>
    <n v="0"/>
    <n v="0"/>
    <m/>
    <m/>
    <n v="0"/>
    <n v="0"/>
    <m/>
    <m/>
    <m/>
    <m/>
    <m/>
    <m/>
    <m/>
    <m/>
    <n v="0"/>
    <n v="0"/>
    <n v="0"/>
    <n v="0"/>
    <n v="1402.4333333333334"/>
    <n v="1518.3"/>
  </r>
  <r>
    <x v="0"/>
    <s v="Northeast Alabama State Community College "/>
    <n v="101897"/>
    <x v="8"/>
    <s v="sem"/>
    <m/>
    <m/>
    <m/>
    <n v="23798"/>
    <n v="27989"/>
    <n v="10566"/>
    <n v="13708"/>
    <n v="28468"/>
    <n v="35348"/>
    <n v="62832"/>
    <n v="2094.4"/>
    <n v="77045"/>
    <n v="2568.1666666666665"/>
    <m/>
    <m/>
    <n v="0"/>
    <n v="0"/>
    <m/>
    <m/>
    <m/>
    <m/>
    <m/>
    <m/>
    <m/>
    <m/>
    <n v="0"/>
    <n v="0"/>
    <n v="0"/>
    <n v="0"/>
    <m/>
    <m/>
    <n v="0"/>
    <n v="0"/>
    <m/>
    <m/>
    <m/>
    <m/>
    <m/>
    <m/>
    <m/>
    <m/>
    <n v="0"/>
    <n v="0"/>
    <n v="0"/>
    <n v="0"/>
    <n v="2094.4"/>
    <n v="2568.1666666666665"/>
  </r>
  <r>
    <x v="0"/>
    <s v="Snead State Community College "/>
    <n v="102076"/>
    <x v="8"/>
    <s v="sem"/>
    <m/>
    <m/>
    <m/>
    <n v="21524"/>
    <n v="22791"/>
    <n v="8752"/>
    <n v="8777"/>
    <n v="23414"/>
    <n v="26541"/>
    <n v="53690"/>
    <n v="1789.6666666666667"/>
    <n v="58109"/>
    <n v="1936.9666666666667"/>
    <m/>
    <m/>
    <n v="0"/>
    <n v="0"/>
    <m/>
    <m/>
    <m/>
    <m/>
    <m/>
    <m/>
    <m/>
    <m/>
    <n v="0"/>
    <n v="0"/>
    <n v="0"/>
    <n v="0"/>
    <m/>
    <m/>
    <n v="0"/>
    <n v="0"/>
    <m/>
    <m/>
    <m/>
    <m/>
    <m/>
    <m/>
    <m/>
    <m/>
    <n v="0"/>
    <n v="0"/>
    <n v="0"/>
    <n v="0"/>
    <n v="1789.6666666666667"/>
    <n v="1936.9666666666667"/>
  </r>
  <r>
    <x v="0"/>
    <s v="Trenholm State Technical College "/>
    <n v="102313"/>
    <x v="9"/>
    <s v="sem"/>
    <m/>
    <m/>
    <m/>
    <n v="13051"/>
    <n v="14984"/>
    <n v="9703"/>
    <n v="11007"/>
    <n v="14004"/>
    <n v="18028"/>
    <n v="36758"/>
    <n v="1225.2666666666667"/>
    <n v="44019"/>
    <n v="1467.3"/>
    <m/>
    <m/>
    <n v="0"/>
    <n v="0"/>
    <m/>
    <m/>
    <m/>
    <m/>
    <m/>
    <m/>
    <m/>
    <m/>
    <n v="0"/>
    <n v="0"/>
    <n v="0"/>
    <n v="0"/>
    <m/>
    <m/>
    <n v="0"/>
    <n v="0"/>
    <m/>
    <m/>
    <m/>
    <m/>
    <m/>
    <m/>
    <m/>
    <m/>
    <n v="0"/>
    <n v="0"/>
    <n v="0"/>
    <n v="0"/>
    <n v="1225.2666666666667"/>
    <n v="1467.3"/>
  </r>
  <r>
    <x v="0"/>
    <s v="J.F. Drake State Technical College "/>
    <n v="101462"/>
    <x v="10"/>
    <s v="sem"/>
    <m/>
    <m/>
    <m/>
    <n v="6902"/>
    <n v="9859"/>
    <n v="3944"/>
    <n v="5787"/>
    <n v="8662"/>
    <n v="13301"/>
    <n v="19508"/>
    <n v="650.26666666666665"/>
    <n v="28947"/>
    <n v="964.9"/>
    <m/>
    <m/>
    <n v="0"/>
    <n v="0"/>
    <m/>
    <m/>
    <m/>
    <m/>
    <m/>
    <m/>
    <m/>
    <m/>
    <n v="0"/>
    <n v="0"/>
    <n v="0"/>
    <n v="0"/>
    <m/>
    <m/>
    <n v="0"/>
    <n v="0"/>
    <m/>
    <m/>
    <m/>
    <m/>
    <m/>
    <m/>
    <m/>
    <m/>
    <n v="0"/>
    <n v="0"/>
    <n v="0"/>
    <n v="0"/>
    <n v="650.26666666666665"/>
    <n v="964.9"/>
  </r>
  <r>
    <x v="0"/>
    <s v="J.F. Ingram State Technical College "/>
    <n v="101471"/>
    <x v="10"/>
    <s v="sem"/>
    <m/>
    <m/>
    <m/>
    <n v="6994"/>
    <n v="8605"/>
    <n v="6866"/>
    <n v="7103"/>
    <n v="7565"/>
    <n v="7532"/>
    <n v="21425"/>
    <n v="714.16666666666663"/>
    <n v="23240"/>
    <n v="774.66666666666663"/>
    <m/>
    <m/>
    <n v="0"/>
    <n v="0"/>
    <m/>
    <m/>
    <m/>
    <m/>
    <m/>
    <m/>
    <m/>
    <m/>
    <n v="0"/>
    <n v="0"/>
    <n v="0"/>
    <n v="0"/>
    <m/>
    <m/>
    <n v="0"/>
    <n v="0"/>
    <m/>
    <m/>
    <m/>
    <m/>
    <m/>
    <m/>
    <m/>
    <m/>
    <n v="0"/>
    <n v="0"/>
    <n v="0"/>
    <n v="0"/>
    <n v="714.16666666666663"/>
    <n v="774.66666666666663"/>
  </r>
  <r>
    <x v="0"/>
    <s v="Reid State Technical College "/>
    <n v="101994"/>
    <x v="10"/>
    <s v="sem"/>
    <m/>
    <m/>
    <m/>
    <n v="5274"/>
    <n v="6492"/>
    <n v="3811"/>
    <n v="5056"/>
    <n v="6547"/>
    <n v="8737"/>
    <n v="15632"/>
    <n v="521.06666666666672"/>
    <n v="20285"/>
    <n v="676.16666666666663"/>
    <m/>
    <m/>
    <n v="0"/>
    <n v="0"/>
    <m/>
    <m/>
    <m/>
    <m/>
    <m/>
    <m/>
    <m/>
    <m/>
    <n v="0"/>
    <n v="0"/>
    <n v="0"/>
    <n v="0"/>
    <m/>
    <m/>
    <n v="0"/>
    <n v="0"/>
    <m/>
    <m/>
    <m/>
    <m/>
    <m/>
    <m/>
    <m/>
    <m/>
    <n v="0"/>
    <n v="0"/>
    <n v="0"/>
    <n v="0"/>
    <n v="521.06666666666672"/>
    <n v="676.16666666666663"/>
  </r>
  <r>
    <x v="1"/>
    <s v="University of Arkansas, Fayetteville"/>
    <n v="106397"/>
    <x v="0"/>
    <s v="sem"/>
    <m/>
    <m/>
    <m/>
    <n v="185896"/>
    <n v="191161"/>
    <n v="34584"/>
    <n v="35106"/>
    <n v="207970"/>
    <n v="214630"/>
    <n v="428450"/>
    <n v="14281.666666666666"/>
    <n v="440897"/>
    <n v="14696.566666666668"/>
    <n v="101"/>
    <n v="99"/>
    <n v="428450"/>
    <n v="440897"/>
    <m/>
    <m/>
    <m/>
    <m/>
    <m/>
    <m/>
    <m/>
    <m/>
    <n v="0"/>
    <n v="0"/>
    <n v="0"/>
    <n v="0"/>
    <m/>
    <m/>
    <n v="0"/>
    <n v="0"/>
    <m/>
    <m/>
    <n v="29066"/>
    <n v="29676"/>
    <n v="10609"/>
    <n v="10505"/>
    <n v="30094"/>
    <n v="32051"/>
    <n v="69769"/>
    <n v="2907.0416666666665"/>
    <n v="72232"/>
    <n v="3009.6666666666665"/>
    <n v="17188.708333333332"/>
    <n v="17706.233333333334"/>
  </r>
  <r>
    <x v="1"/>
    <s v="Arkansas State University"/>
    <n v="106458"/>
    <x v="2"/>
    <s v="sem"/>
    <m/>
    <m/>
    <m/>
    <n v="115710"/>
    <n v="115650"/>
    <n v="20573"/>
    <n v="21136"/>
    <n v="123547"/>
    <n v="124908"/>
    <n v="259830"/>
    <n v="8661"/>
    <n v="261694"/>
    <n v="8723.1333333333332"/>
    <n v="3632"/>
    <n v="3196"/>
    <n v="259830"/>
    <n v="261694"/>
    <m/>
    <m/>
    <m/>
    <m/>
    <m/>
    <m/>
    <m/>
    <m/>
    <n v="0"/>
    <n v="0"/>
    <n v="0"/>
    <n v="0"/>
    <m/>
    <m/>
    <n v="0"/>
    <n v="0"/>
    <m/>
    <m/>
    <n v="10341"/>
    <n v="13390"/>
    <n v="6721"/>
    <n v="9222"/>
    <n v="11566"/>
    <n v="19048"/>
    <n v="28628"/>
    <n v="1192.8333333333333"/>
    <n v="41660"/>
    <n v="1735.8333333333333"/>
    <n v="9853.8333333333339"/>
    <n v="10458.966666666667"/>
  </r>
  <r>
    <x v="1"/>
    <s v="University of Arkansas at Little Rock"/>
    <n v="106245"/>
    <x v="2"/>
    <s v="sem"/>
    <m/>
    <m/>
    <m/>
    <n v="93281"/>
    <n v="94900"/>
    <n v="21520"/>
    <n v="23637"/>
    <n v="98346"/>
    <n v="106088"/>
    <n v="213147"/>
    <n v="7104.9"/>
    <n v="224625"/>
    <n v="7487.5"/>
    <n v="6221"/>
    <n v="8869"/>
    <n v="213147"/>
    <n v="224625"/>
    <m/>
    <m/>
    <m/>
    <m/>
    <m/>
    <m/>
    <m/>
    <m/>
    <n v="0"/>
    <n v="0"/>
    <n v="0"/>
    <n v="0"/>
    <m/>
    <m/>
    <n v="0"/>
    <n v="0"/>
    <m/>
    <m/>
    <n v="19630"/>
    <n v="20273"/>
    <n v="7907"/>
    <n v="8236"/>
    <n v="21268"/>
    <n v="22773"/>
    <n v="48805"/>
    <n v="2033.5416666666667"/>
    <n v="51282"/>
    <n v="2136.75"/>
    <n v="9138.4416666666657"/>
    <n v="9624.25"/>
  </r>
  <r>
    <x v="1"/>
    <s v="University of Central Arkansas "/>
    <n v="106704"/>
    <x v="2"/>
    <s v="sem"/>
    <m/>
    <m/>
    <m/>
    <n v="131445"/>
    <n v="133949"/>
    <n v="18673"/>
    <n v="18149"/>
    <n v="145326"/>
    <n v="135901"/>
    <n v="295444"/>
    <n v="9848.1333333333332"/>
    <n v="287999"/>
    <n v="9599.9666666666672"/>
    <n v="9740"/>
    <n v="9580"/>
    <n v="295444"/>
    <n v="287999"/>
    <m/>
    <m/>
    <m/>
    <m/>
    <m/>
    <m/>
    <m/>
    <m/>
    <n v="0"/>
    <n v="0"/>
    <n v="0"/>
    <n v="0"/>
    <m/>
    <m/>
    <n v="0"/>
    <n v="0"/>
    <m/>
    <m/>
    <n v="13067"/>
    <n v="13200"/>
    <n v="9086"/>
    <n v="8584"/>
    <n v="13225"/>
    <n v="12388"/>
    <n v="35378"/>
    <n v="1474.0833333333333"/>
    <n v="34172"/>
    <n v="1423.8333333333333"/>
    <n v="11322.216666666667"/>
    <n v="11023.800000000001"/>
  </r>
  <r>
    <x v="1"/>
    <s v="Arkansas Tech University"/>
    <n v="106467"/>
    <x v="3"/>
    <s v="sem"/>
    <m/>
    <m/>
    <m/>
    <n v="84096"/>
    <n v="79670"/>
    <n v="14102"/>
    <n v="14049"/>
    <n v="93317"/>
    <n v="94964"/>
    <n v="191515"/>
    <n v="6383.833333333333"/>
    <n v="188683"/>
    <n v="6289.4333333333334"/>
    <n v="2544"/>
    <n v="3934"/>
    <n v="191515"/>
    <n v="188683"/>
    <m/>
    <m/>
    <m/>
    <m/>
    <m/>
    <m/>
    <m/>
    <m/>
    <n v="0"/>
    <n v="0"/>
    <n v="0"/>
    <n v="0"/>
    <m/>
    <m/>
    <n v="0"/>
    <n v="0"/>
    <m/>
    <m/>
    <n v="3379"/>
    <n v="3192"/>
    <n v="2131"/>
    <n v="2311"/>
    <n v="3182"/>
    <n v="3462"/>
    <n v="8692"/>
    <n v="362.16666666666669"/>
    <n v="8965"/>
    <n v="373.54166666666669"/>
    <n v="6746"/>
    <n v="6662.9750000000004"/>
  </r>
  <r>
    <x v="1"/>
    <s v="Henderson State University"/>
    <n v="107071"/>
    <x v="3"/>
    <s v="sem"/>
    <m/>
    <m/>
    <m/>
    <n v="39598"/>
    <n v="38649"/>
    <n v="5788"/>
    <n v="5304"/>
    <n v="43165"/>
    <n v="43102"/>
    <n v="88551"/>
    <n v="2951.7"/>
    <n v="87055"/>
    <n v="2901.8333333333335"/>
    <n v="119"/>
    <n v="129"/>
    <n v="88551"/>
    <n v="87055"/>
    <m/>
    <m/>
    <m/>
    <m/>
    <m/>
    <m/>
    <m/>
    <m/>
    <n v="0"/>
    <n v="0"/>
    <n v="0"/>
    <n v="0"/>
    <m/>
    <m/>
    <n v="0"/>
    <n v="0"/>
    <m/>
    <m/>
    <n v="2959"/>
    <n v="3600"/>
    <n v="5850"/>
    <n v="5535"/>
    <n v="3486"/>
    <n v="2758"/>
    <n v="12295"/>
    <n v="512.29166666666663"/>
    <n v="11893"/>
    <n v="495.54166666666669"/>
    <n v="3463.9916666666663"/>
    <n v="3397.375"/>
  </r>
  <r>
    <x v="1"/>
    <s v="Southern Arkansas University"/>
    <n v="107983"/>
    <x v="4"/>
    <s v="sem"/>
    <m/>
    <m/>
    <m/>
    <n v="34412"/>
    <n v="33220"/>
    <n v="4183"/>
    <n v="4607"/>
    <n v="36735"/>
    <n v="38244"/>
    <n v="75330"/>
    <n v="2511"/>
    <n v="76071"/>
    <n v="2535.6999999999998"/>
    <n v="606"/>
    <n v="517"/>
    <n v="75330"/>
    <n v="76071"/>
    <m/>
    <m/>
    <m/>
    <m/>
    <m/>
    <m/>
    <m/>
    <m/>
    <n v="0"/>
    <n v="0"/>
    <n v="0"/>
    <n v="0"/>
    <m/>
    <m/>
    <n v="0"/>
    <n v="0"/>
    <m/>
    <m/>
    <n v="2054"/>
    <n v="2582"/>
    <n v="2691"/>
    <n v="2824"/>
    <n v="2447"/>
    <n v="2751"/>
    <n v="7192"/>
    <n v="299.66666666666669"/>
    <n v="8157"/>
    <n v="339.875"/>
    <n v="2810.6666666666665"/>
    <n v="2875.5749999999998"/>
  </r>
  <r>
    <x v="1"/>
    <s v="University of Arkansas at Monticello"/>
    <n v="106485"/>
    <x v="4"/>
    <s v="sem"/>
    <m/>
    <m/>
    <m/>
    <n v="34789"/>
    <n v="29117"/>
    <n v="7289"/>
    <n v="6127"/>
    <n v="37200"/>
    <n v="32328"/>
    <n v="79278"/>
    <n v="2642.6"/>
    <n v="67572"/>
    <n v="2252.4"/>
    <n v="3573"/>
    <n v="3409"/>
    <n v="79278"/>
    <n v="67572"/>
    <m/>
    <m/>
    <m/>
    <m/>
    <m/>
    <m/>
    <m/>
    <m/>
    <n v="0"/>
    <n v="0"/>
    <n v="0"/>
    <n v="0"/>
    <m/>
    <m/>
    <n v="0"/>
    <n v="0"/>
    <m/>
    <m/>
    <n v="885"/>
    <n v="698"/>
    <n v="806"/>
    <n v="730"/>
    <n v="742"/>
    <n v="692"/>
    <n v="2433"/>
    <n v="101.375"/>
    <n v="2120"/>
    <n v="88.333333333333329"/>
    <n v="2743.9749999999999"/>
    <n v="2340.7333333333336"/>
  </r>
  <r>
    <x v="1"/>
    <s v="University of Arkansas at Fort Smith"/>
    <n v="108092"/>
    <x v="5"/>
    <s v="sem"/>
    <m/>
    <m/>
    <m/>
    <n v="68327"/>
    <n v="72303"/>
    <n v="15854"/>
    <n v="16982"/>
    <n v="77193"/>
    <n v="85074"/>
    <n v="161374"/>
    <n v="5379.1333333333332"/>
    <n v="174359"/>
    <n v="5811.9666666666662"/>
    <n v="7284"/>
    <n v="7681"/>
    <n v="161374"/>
    <n v="174359"/>
    <m/>
    <m/>
    <m/>
    <m/>
    <m/>
    <m/>
    <m/>
    <m/>
    <n v="0"/>
    <n v="0"/>
    <n v="0"/>
    <n v="0"/>
    <m/>
    <m/>
    <n v="0"/>
    <n v="0"/>
    <m/>
    <m/>
    <m/>
    <m/>
    <m/>
    <m/>
    <m/>
    <m/>
    <n v="0"/>
    <n v="0"/>
    <n v="0"/>
    <n v="0"/>
    <n v="5379.1333333333332"/>
    <n v="5811.9666666666662"/>
  </r>
  <r>
    <x v="1"/>
    <s v="University of Arkansas at Pine Bluff"/>
    <n v="106412"/>
    <x v="5"/>
    <s v="sem"/>
    <m/>
    <m/>
    <m/>
    <n v="37374"/>
    <n v="41852"/>
    <n v="5993"/>
    <n v="6578"/>
    <n v="46476"/>
    <n v="50684"/>
    <n v="89843"/>
    <n v="2994.7666666666669"/>
    <n v="99114"/>
    <n v="3303.8"/>
    <n v="48"/>
    <n v="27"/>
    <n v="89843"/>
    <n v="99114"/>
    <m/>
    <m/>
    <m/>
    <m/>
    <m/>
    <m/>
    <m/>
    <m/>
    <n v="0"/>
    <n v="0"/>
    <n v="0"/>
    <n v="0"/>
    <m/>
    <m/>
    <n v="0"/>
    <n v="0"/>
    <m/>
    <m/>
    <n v="657"/>
    <n v="878"/>
    <n v="461"/>
    <n v="409"/>
    <n v="928"/>
    <n v="930"/>
    <n v="2046"/>
    <n v="85.25"/>
    <n v="2217"/>
    <n v="92.375"/>
    <n v="3080.0166666666669"/>
    <n v="3396.1750000000002"/>
  </r>
  <r>
    <x v="1"/>
    <s v="Pulaski Technical College"/>
    <n v="107664"/>
    <x v="6"/>
    <s v="sem"/>
    <m/>
    <m/>
    <m/>
    <n v="85052"/>
    <n v="93788"/>
    <n v="18015"/>
    <n v="17842"/>
    <n v="87168"/>
    <n v="100767"/>
    <n v="190235"/>
    <n v="6341.166666666667"/>
    <n v="212397"/>
    <n v="7079.9"/>
    <n v="3025"/>
    <n v="3173"/>
    <n v="190235"/>
    <n v="212397"/>
    <m/>
    <m/>
    <m/>
    <m/>
    <m/>
    <m/>
    <m/>
    <m/>
    <n v="0"/>
    <n v="0"/>
    <n v="0"/>
    <n v="0"/>
    <m/>
    <m/>
    <n v="0"/>
    <n v="0"/>
    <m/>
    <m/>
    <m/>
    <m/>
    <m/>
    <m/>
    <m/>
    <m/>
    <n v="0"/>
    <n v="0"/>
    <n v="0"/>
    <n v="0"/>
    <n v="6341.166666666667"/>
    <n v="7079.9"/>
  </r>
  <r>
    <x v="1"/>
    <s v="Arkansas State University-Beebe"/>
    <n v="106449"/>
    <x v="7"/>
    <s v="sem"/>
    <m/>
    <m/>
    <m/>
    <n v="41921"/>
    <n v="42023"/>
    <n v="11003"/>
    <n v="10576"/>
    <n v="45614"/>
    <n v="48398"/>
    <n v="98538"/>
    <n v="3284.6"/>
    <n v="100997"/>
    <n v="3366.5666666666666"/>
    <n v="6630"/>
    <n v="6138"/>
    <n v="98538"/>
    <n v="100997"/>
    <m/>
    <m/>
    <m/>
    <m/>
    <m/>
    <m/>
    <m/>
    <m/>
    <n v="0"/>
    <n v="0"/>
    <n v="0"/>
    <n v="0"/>
    <m/>
    <m/>
    <n v="0"/>
    <n v="0"/>
    <m/>
    <m/>
    <m/>
    <m/>
    <m/>
    <m/>
    <m/>
    <m/>
    <n v="0"/>
    <n v="0"/>
    <n v="0"/>
    <n v="0"/>
    <n v="3284.6"/>
    <n v="3366.5666666666666"/>
  </r>
  <r>
    <x v="1"/>
    <s v="Northwest Arkansas Community College "/>
    <n v="367459"/>
    <x v="7"/>
    <s v="sem"/>
    <m/>
    <m/>
    <m/>
    <n v="56212"/>
    <n v="63519"/>
    <n v="13549"/>
    <n v="16389"/>
    <n v="63246"/>
    <n v="73459"/>
    <n v="133007"/>
    <n v="4433.5666666666666"/>
    <n v="153367"/>
    <n v="5112.2333333333336"/>
    <n v="6288"/>
    <n v="6444"/>
    <n v="133007"/>
    <n v="153367"/>
    <m/>
    <m/>
    <m/>
    <m/>
    <m/>
    <m/>
    <m/>
    <m/>
    <n v="0"/>
    <n v="0"/>
    <n v="0"/>
    <n v="0"/>
    <m/>
    <m/>
    <n v="0"/>
    <n v="0"/>
    <m/>
    <m/>
    <m/>
    <m/>
    <m/>
    <m/>
    <m/>
    <m/>
    <n v="0"/>
    <n v="0"/>
    <n v="0"/>
    <n v="0"/>
    <n v="4433.5666666666666"/>
    <n v="5112.2333333333336"/>
  </r>
  <r>
    <x v="1"/>
    <s v="Arkansas Northeastern College"/>
    <n v="107327"/>
    <x v="8"/>
    <s v="sem"/>
    <m/>
    <m/>
    <m/>
    <n v="14895"/>
    <n v="17487"/>
    <n v="3839"/>
    <n v="5308"/>
    <n v="17242"/>
    <n v="19934"/>
    <n v="35976"/>
    <n v="1199.2"/>
    <n v="42729"/>
    <n v="1424.3"/>
    <n v="1801"/>
    <n v="1862"/>
    <n v="35976"/>
    <n v="42729"/>
    <m/>
    <m/>
    <m/>
    <m/>
    <m/>
    <m/>
    <m/>
    <m/>
    <n v="0"/>
    <n v="0"/>
    <n v="0"/>
    <n v="0"/>
    <m/>
    <m/>
    <n v="0"/>
    <n v="0"/>
    <m/>
    <m/>
    <m/>
    <m/>
    <m/>
    <m/>
    <m/>
    <m/>
    <n v="0"/>
    <n v="0"/>
    <n v="0"/>
    <n v="0"/>
    <n v="1199.2"/>
    <n v="1424.3"/>
  </r>
  <r>
    <x v="1"/>
    <s v="Arkansas State University Mountain Home"/>
    <n v="420538"/>
    <x v="8"/>
    <s v="sem"/>
    <m/>
    <m/>
    <m/>
    <n v="11855"/>
    <n v="12866"/>
    <n v="2856"/>
    <n v="2844"/>
    <n v="13187"/>
    <n v="16414"/>
    <n v="27898"/>
    <n v="929.93333333333328"/>
    <n v="32124"/>
    <n v="1070.8"/>
    <n v="778"/>
    <n v="683"/>
    <n v="27898"/>
    <n v="32124"/>
    <m/>
    <m/>
    <m/>
    <m/>
    <m/>
    <m/>
    <m/>
    <m/>
    <n v="0"/>
    <n v="0"/>
    <n v="0"/>
    <n v="0"/>
    <m/>
    <m/>
    <n v="0"/>
    <n v="0"/>
    <m/>
    <m/>
    <m/>
    <m/>
    <m/>
    <m/>
    <m/>
    <m/>
    <n v="0"/>
    <n v="0"/>
    <n v="0"/>
    <n v="0"/>
    <n v="929.93333333333328"/>
    <n v="1070.8"/>
  </r>
  <r>
    <x v="1"/>
    <s v="Arkansas State University-Newport"/>
    <n v="440402"/>
    <x v="8"/>
    <s v="sem"/>
    <m/>
    <m/>
    <m/>
    <n v="10644"/>
    <n v="16020"/>
    <n v="5542"/>
    <n v="5909"/>
    <n v="16416"/>
    <n v="19125"/>
    <n v="32602"/>
    <n v="1086.7333333333333"/>
    <n v="41054"/>
    <n v="1368.4666666666667"/>
    <n v="3336"/>
    <n v="5690"/>
    <n v="32602"/>
    <n v="41054"/>
    <m/>
    <m/>
    <m/>
    <m/>
    <m/>
    <m/>
    <m/>
    <m/>
    <n v="0"/>
    <n v="0"/>
    <n v="0"/>
    <n v="0"/>
    <m/>
    <m/>
    <n v="0"/>
    <n v="0"/>
    <m/>
    <m/>
    <m/>
    <m/>
    <m/>
    <m/>
    <m/>
    <m/>
    <n v="0"/>
    <n v="0"/>
    <n v="0"/>
    <n v="0"/>
    <n v="1086.7333333333333"/>
    <n v="1368.4666666666667"/>
  </r>
  <r>
    <x v="1"/>
    <s v="Black River Technical College"/>
    <n v="106625"/>
    <x v="8"/>
    <s v="sem"/>
    <m/>
    <m/>
    <m/>
    <n v="21310"/>
    <n v="21229"/>
    <n v="5452"/>
    <n v="4799"/>
    <n v="21251"/>
    <n v="25166"/>
    <n v="48013"/>
    <n v="1600.4333333333334"/>
    <n v="51194"/>
    <n v="1706.4666666666667"/>
    <n v="1295"/>
    <n v="1656"/>
    <n v="48013"/>
    <n v="51194"/>
    <m/>
    <m/>
    <m/>
    <m/>
    <m/>
    <m/>
    <m/>
    <m/>
    <n v="0"/>
    <n v="0"/>
    <n v="0"/>
    <n v="0"/>
    <m/>
    <m/>
    <n v="0"/>
    <n v="0"/>
    <m/>
    <m/>
    <m/>
    <m/>
    <m/>
    <m/>
    <m/>
    <m/>
    <n v="0"/>
    <n v="0"/>
    <n v="0"/>
    <n v="0"/>
    <n v="1600.4333333333334"/>
    <n v="1706.4666666666667"/>
  </r>
  <r>
    <x v="1"/>
    <s v="Cossatot Community College of the University of Arkansas"/>
    <n v="106795"/>
    <x v="8"/>
    <s v="sem"/>
    <m/>
    <m/>
    <m/>
    <n v="11464"/>
    <n v="11411"/>
    <n v="3464"/>
    <n v="3337"/>
    <n v="12067"/>
    <n v="12661"/>
    <n v="26995"/>
    <n v="899.83333333333337"/>
    <n v="27409"/>
    <n v="913.63333333333333"/>
    <n v="2680"/>
    <n v="2925"/>
    <n v="26995"/>
    <n v="27409"/>
    <m/>
    <m/>
    <m/>
    <m/>
    <m/>
    <m/>
    <m/>
    <m/>
    <n v="0"/>
    <n v="0"/>
    <n v="0"/>
    <n v="0"/>
    <m/>
    <m/>
    <n v="0"/>
    <n v="0"/>
    <m/>
    <m/>
    <m/>
    <m/>
    <m/>
    <m/>
    <m/>
    <m/>
    <n v="0"/>
    <n v="0"/>
    <n v="0"/>
    <n v="0"/>
    <n v="899.83333333333337"/>
    <n v="913.63333333333333"/>
  </r>
  <r>
    <x v="1"/>
    <s v="East Arkansas Community College "/>
    <n v="106883"/>
    <x v="8"/>
    <s v="sem"/>
    <m/>
    <m/>
    <m/>
    <n v="13859"/>
    <n v="13021"/>
    <n v="4137"/>
    <n v="3711"/>
    <n v="14072"/>
    <n v="15032"/>
    <n v="32068"/>
    <n v="1068.9333333333334"/>
    <n v="31764"/>
    <n v="1058.8"/>
    <n v="1812"/>
    <n v="1214"/>
    <n v="32068"/>
    <n v="31764"/>
    <m/>
    <m/>
    <m/>
    <m/>
    <m/>
    <m/>
    <m/>
    <m/>
    <n v="0"/>
    <n v="0"/>
    <n v="0"/>
    <n v="0"/>
    <m/>
    <m/>
    <n v="0"/>
    <n v="0"/>
    <m/>
    <m/>
    <m/>
    <m/>
    <m/>
    <m/>
    <m/>
    <m/>
    <n v="0"/>
    <n v="0"/>
    <n v="0"/>
    <n v="0"/>
    <n v="1068.9333333333334"/>
    <n v="1058.8"/>
  </r>
  <r>
    <x v="1"/>
    <s v="Mid-South Community College "/>
    <n v="107318"/>
    <x v="8"/>
    <s v="sem"/>
    <m/>
    <m/>
    <m/>
    <n v="11770"/>
    <n v="13833"/>
    <n v="3119"/>
    <n v="3998"/>
    <n v="14077"/>
    <n v="18817"/>
    <n v="28966"/>
    <n v="965.5333333333333"/>
    <n v="36648"/>
    <n v="1221.5999999999999"/>
    <n v="3457"/>
    <n v="3660"/>
    <n v="28966"/>
    <n v="36648"/>
    <m/>
    <m/>
    <m/>
    <m/>
    <m/>
    <m/>
    <m/>
    <m/>
    <n v="0"/>
    <n v="0"/>
    <n v="0"/>
    <n v="0"/>
    <m/>
    <m/>
    <n v="0"/>
    <n v="0"/>
    <m/>
    <m/>
    <m/>
    <m/>
    <m/>
    <m/>
    <m/>
    <m/>
    <n v="0"/>
    <n v="0"/>
    <n v="0"/>
    <n v="0"/>
    <n v="965.5333333333333"/>
    <n v="1221.5999999999999"/>
  </r>
  <r>
    <x v="1"/>
    <s v="National Park Community College"/>
    <n v="106980"/>
    <x v="8"/>
    <s v="sem"/>
    <m/>
    <m/>
    <m/>
    <n v="26175"/>
    <n v="30144"/>
    <n v="6144"/>
    <n v="6424"/>
    <n v="31690"/>
    <n v="34829"/>
    <n v="64009"/>
    <n v="2133.6333333333332"/>
    <n v="71397"/>
    <n v="2379.9"/>
    <n v="5237"/>
    <n v="3645"/>
    <n v="64009"/>
    <n v="71397"/>
    <m/>
    <m/>
    <m/>
    <m/>
    <m/>
    <m/>
    <m/>
    <m/>
    <n v="0"/>
    <n v="0"/>
    <n v="0"/>
    <n v="0"/>
    <m/>
    <m/>
    <n v="0"/>
    <n v="0"/>
    <m/>
    <m/>
    <m/>
    <m/>
    <m/>
    <m/>
    <m/>
    <m/>
    <n v="0"/>
    <n v="0"/>
    <n v="0"/>
    <n v="0"/>
    <n v="2133.6333333333332"/>
    <n v="2379.9"/>
  </r>
  <r>
    <x v="1"/>
    <s v="North Arkansas College"/>
    <n v="107460"/>
    <x v="8"/>
    <s v="sem"/>
    <m/>
    <m/>
    <m/>
    <n v="21363"/>
    <n v="22646"/>
    <n v="2608"/>
    <n v="3425"/>
    <n v="23654"/>
    <n v="27299"/>
    <n v="47625"/>
    <n v="1587.5"/>
    <n v="53370"/>
    <n v="1779"/>
    <n v="3049"/>
    <n v="2268"/>
    <n v="47625"/>
    <n v="53370"/>
    <m/>
    <m/>
    <m/>
    <m/>
    <m/>
    <m/>
    <m/>
    <m/>
    <n v="0"/>
    <n v="0"/>
    <n v="0"/>
    <n v="0"/>
    <m/>
    <m/>
    <n v="0"/>
    <n v="0"/>
    <m/>
    <m/>
    <m/>
    <m/>
    <m/>
    <m/>
    <m/>
    <m/>
    <n v="0"/>
    <n v="0"/>
    <n v="0"/>
    <n v="0"/>
    <n v="1587.5"/>
    <n v="1779"/>
  </r>
  <r>
    <x v="1"/>
    <s v="Ouachita Technical College "/>
    <n v="107521"/>
    <x v="8"/>
    <s v="sem"/>
    <m/>
    <m/>
    <m/>
    <n v="11749"/>
    <n v="12191"/>
    <n v="2766"/>
    <n v="2963"/>
    <n v="12517"/>
    <n v="13365"/>
    <n v="27032"/>
    <n v="901.06666666666672"/>
    <n v="28519"/>
    <n v="950.63333333333333"/>
    <n v="4307"/>
    <n v="4589"/>
    <n v="27032"/>
    <n v="28519"/>
    <m/>
    <m/>
    <m/>
    <m/>
    <m/>
    <m/>
    <m/>
    <m/>
    <n v="0"/>
    <n v="0"/>
    <n v="0"/>
    <n v="0"/>
    <m/>
    <m/>
    <n v="0"/>
    <n v="0"/>
    <m/>
    <m/>
    <m/>
    <m/>
    <m/>
    <m/>
    <m/>
    <m/>
    <n v="0"/>
    <n v="0"/>
    <n v="0"/>
    <n v="0"/>
    <n v="901.06666666666672"/>
    <n v="950.63333333333333"/>
  </r>
  <r>
    <x v="1"/>
    <s v="Ozarka College "/>
    <n v="107549"/>
    <x v="8"/>
    <s v="sem"/>
    <m/>
    <m/>
    <m/>
    <n v="11927"/>
    <n v="12768"/>
    <n v="2216"/>
    <n v="2260"/>
    <n v="12745"/>
    <n v="13701"/>
    <n v="26888"/>
    <n v="896.26666666666665"/>
    <n v="28729"/>
    <n v="957.63333333333333"/>
    <n v="1376"/>
    <n v="1469"/>
    <n v="26888"/>
    <n v="28729"/>
    <m/>
    <m/>
    <m/>
    <m/>
    <m/>
    <m/>
    <m/>
    <m/>
    <n v="0"/>
    <n v="0"/>
    <n v="0"/>
    <n v="0"/>
    <m/>
    <m/>
    <n v="0"/>
    <n v="0"/>
    <m/>
    <m/>
    <m/>
    <m/>
    <m/>
    <m/>
    <m/>
    <m/>
    <n v="0"/>
    <n v="0"/>
    <n v="0"/>
    <n v="0"/>
    <n v="896.26666666666665"/>
    <n v="957.63333333333333"/>
  </r>
  <r>
    <x v="1"/>
    <s v="Phillips Community College of the Univ of Arkansas"/>
    <n v="107619"/>
    <x v="8"/>
    <s v="sem"/>
    <m/>
    <m/>
    <m/>
    <n v="17293"/>
    <n v="17514"/>
    <n v="3290"/>
    <n v="2998"/>
    <n v="19483"/>
    <n v="20403"/>
    <n v="40066"/>
    <n v="1335.5333333333333"/>
    <n v="40915"/>
    <n v="1363.8333333333333"/>
    <n v="7292"/>
    <n v="6526"/>
    <n v="40066"/>
    <n v="40915"/>
    <m/>
    <m/>
    <m/>
    <m/>
    <m/>
    <m/>
    <m/>
    <m/>
    <n v="0"/>
    <n v="0"/>
    <n v="0"/>
    <n v="0"/>
    <m/>
    <m/>
    <n v="0"/>
    <n v="0"/>
    <m/>
    <m/>
    <m/>
    <m/>
    <m/>
    <m/>
    <m/>
    <m/>
    <n v="0"/>
    <n v="0"/>
    <n v="0"/>
    <n v="0"/>
    <n v="1335.5333333333333"/>
    <n v="1363.8333333333333"/>
  </r>
  <r>
    <x v="1"/>
    <s v="Rich Mountain Community College "/>
    <n v="107743"/>
    <x v="8"/>
    <s v="sem"/>
    <m/>
    <m/>
    <m/>
    <n v="7724"/>
    <n v="8069"/>
    <n v="1344"/>
    <n v="1235"/>
    <n v="8444"/>
    <n v="9771"/>
    <n v="17512"/>
    <n v="583.73333333333335"/>
    <n v="19075"/>
    <n v="635.83333333333337"/>
    <n v="2356"/>
    <n v="2505"/>
    <n v="17512"/>
    <n v="19075"/>
    <m/>
    <m/>
    <m/>
    <m/>
    <m/>
    <m/>
    <m/>
    <m/>
    <n v="0"/>
    <n v="0"/>
    <n v="0"/>
    <n v="0"/>
    <m/>
    <m/>
    <n v="0"/>
    <n v="0"/>
    <m/>
    <m/>
    <m/>
    <m/>
    <m/>
    <m/>
    <m/>
    <m/>
    <n v="0"/>
    <n v="0"/>
    <n v="0"/>
    <n v="0"/>
    <n v="583.73333333333335"/>
    <n v="635.83333333333337"/>
  </r>
  <r>
    <x v="1"/>
    <s v="South Arkansas Community College"/>
    <n v="107974"/>
    <x v="8"/>
    <s v="sem"/>
    <m/>
    <m/>
    <m/>
    <n v="13219"/>
    <n v="15006"/>
    <n v="5706"/>
    <n v="6052"/>
    <n v="14925"/>
    <n v="16775"/>
    <n v="33850"/>
    <n v="1128.3333333333333"/>
    <n v="37833"/>
    <n v="1261.0999999999999"/>
    <n v="1701"/>
    <n v="2026"/>
    <n v="33850"/>
    <n v="37833"/>
    <m/>
    <m/>
    <m/>
    <m/>
    <m/>
    <m/>
    <m/>
    <m/>
    <n v="0"/>
    <n v="0"/>
    <n v="0"/>
    <n v="0"/>
    <m/>
    <m/>
    <n v="0"/>
    <n v="0"/>
    <m/>
    <m/>
    <m/>
    <m/>
    <m/>
    <m/>
    <m/>
    <m/>
    <n v="0"/>
    <n v="0"/>
    <n v="0"/>
    <n v="0"/>
    <n v="1128.3333333333333"/>
    <n v="1261.0999999999999"/>
  </r>
  <r>
    <x v="1"/>
    <s v="Southeast Arkansas College"/>
    <n v="107637"/>
    <x v="8"/>
    <s v="sem"/>
    <m/>
    <m/>
    <m/>
    <n v="19378"/>
    <n v="20137"/>
    <n v="6339"/>
    <n v="6139"/>
    <n v="19870"/>
    <n v="20029"/>
    <n v="45587"/>
    <n v="1519.5666666666666"/>
    <n v="46305"/>
    <n v="1543.5"/>
    <n v="1307"/>
    <n v="932"/>
    <n v="45587"/>
    <n v="46305"/>
    <m/>
    <m/>
    <m/>
    <m/>
    <m/>
    <m/>
    <m/>
    <m/>
    <n v="0"/>
    <n v="0"/>
    <n v="0"/>
    <n v="0"/>
    <m/>
    <m/>
    <n v="0"/>
    <n v="0"/>
    <m/>
    <m/>
    <m/>
    <m/>
    <m/>
    <m/>
    <m/>
    <m/>
    <n v="0"/>
    <n v="0"/>
    <n v="0"/>
    <n v="0"/>
    <n v="1519.5666666666666"/>
    <n v="1543.5"/>
  </r>
  <r>
    <x v="1"/>
    <s v="Southern Arkansas University Tech"/>
    <n v="107992"/>
    <x v="8"/>
    <s v="sem"/>
    <m/>
    <m/>
    <m/>
    <n v="16427"/>
    <n v="17833"/>
    <n v="5406"/>
    <n v="5057"/>
    <n v="17528"/>
    <n v="18735"/>
    <n v="39361"/>
    <n v="1312.0333333333333"/>
    <n v="41625"/>
    <n v="1387.5"/>
    <n v="8310"/>
    <n v="9066"/>
    <n v="39361"/>
    <n v="41625"/>
    <m/>
    <m/>
    <m/>
    <m/>
    <m/>
    <m/>
    <m/>
    <m/>
    <n v="0"/>
    <n v="0"/>
    <n v="0"/>
    <n v="0"/>
    <m/>
    <m/>
    <n v="0"/>
    <n v="0"/>
    <m/>
    <m/>
    <m/>
    <m/>
    <m/>
    <m/>
    <m/>
    <m/>
    <n v="0"/>
    <n v="0"/>
    <n v="0"/>
    <n v="0"/>
    <n v="1312.0333333333333"/>
    <n v="1387.5"/>
  </r>
  <r>
    <x v="1"/>
    <s v="University of Arkansas Community College at Batesville"/>
    <n v="106999"/>
    <x v="8"/>
    <s v="sem"/>
    <m/>
    <m/>
    <m/>
    <n v="14964"/>
    <n v="16103"/>
    <n v="4278"/>
    <n v="4523"/>
    <n v="16394"/>
    <n v="19086"/>
    <n v="35636"/>
    <n v="1187.8666666666666"/>
    <n v="39712"/>
    <n v="1323.7333333333333"/>
    <n v="705"/>
    <n v="864"/>
    <n v="35636"/>
    <n v="39712"/>
    <m/>
    <m/>
    <m/>
    <m/>
    <m/>
    <m/>
    <m/>
    <m/>
    <n v="0"/>
    <n v="0"/>
    <n v="0"/>
    <n v="0"/>
    <m/>
    <m/>
    <n v="0"/>
    <n v="0"/>
    <m/>
    <m/>
    <m/>
    <m/>
    <m/>
    <m/>
    <m/>
    <m/>
    <n v="0"/>
    <n v="0"/>
    <n v="0"/>
    <n v="0"/>
    <n v="1187.8666666666666"/>
    <n v="1323.7333333333333"/>
  </r>
  <r>
    <x v="1"/>
    <s v="University of Arkansas Community College at Hope"/>
    <n v="107725"/>
    <x v="8"/>
    <s v="sem"/>
    <m/>
    <m/>
    <m/>
    <n v="11789"/>
    <n v="13419"/>
    <n v="2494"/>
    <n v="3168"/>
    <n v="12872"/>
    <n v="15152"/>
    <n v="27155"/>
    <n v="905.16666666666663"/>
    <n v="31739"/>
    <n v="1057.9666666666667"/>
    <n v="1296"/>
    <n v="1176"/>
    <n v="27155"/>
    <n v="31739"/>
    <m/>
    <m/>
    <m/>
    <m/>
    <m/>
    <m/>
    <m/>
    <m/>
    <n v="0"/>
    <n v="0"/>
    <n v="0"/>
    <n v="0"/>
    <m/>
    <m/>
    <n v="0"/>
    <n v="0"/>
    <m/>
    <m/>
    <m/>
    <m/>
    <m/>
    <m/>
    <m/>
    <m/>
    <n v="0"/>
    <n v="0"/>
    <n v="0"/>
    <n v="0"/>
    <n v="905.16666666666663"/>
    <n v="1057.9666666666667"/>
  </r>
  <r>
    <x v="1"/>
    <s v="University of Arkansas Community College at Morrilton"/>
    <n v="107585"/>
    <x v="8"/>
    <s v="sem"/>
    <m/>
    <m/>
    <m/>
    <n v="18457"/>
    <n v="21347"/>
    <n v="2571"/>
    <n v="3472"/>
    <n v="22181"/>
    <n v="27660"/>
    <n v="43209"/>
    <n v="1440.3"/>
    <n v="52479"/>
    <n v="1749.3"/>
    <n v="448"/>
    <n v="524"/>
    <n v="43209"/>
    <n v="52479"/>
    <m/>
    <m/>
    <m/>
    <m/>
    <m/>
    <m/>
    <m/>
    <m/>
    <n v="0"/>
    <n v="0"/>
    <n v="0"/>
    <n v="0"/>
    <m/>
    <m/>
    <n v="0"/>
    <n v="0"/>
    <m/>
    <m/>
    <m/>
    <m/>
    <m/>
    <m/>
    <m/>
    <m/>
    <n v="0"/>
    <n v="0"/>
    <n v="0"/>
    <n v="0"/>
    <n v="1440.3"/>
    <n v="1749.3"/>
  </r>
  <r>
    <x v="2"/>
    <s v="University of Delaware"/>
    <n v="130943"/>
    <x v="0"/>
    <s v="sem"/>
    <s v="sem "/>
    <n v="36982"/>
    <n v="35795"/>
    <n v="216280"/>
    <n v="219168"/>
    <n v="18149"/>
    <n v="16806"/>
    <n v="233697"/>
    <n v="242206"/>
    <n v="505108"/>
    <n v="16836.933333333334"/>
    <n v="513975"/>
    <n v="17132.5"/>
    <n v="273"/>
    <n v="327"/>
    <n v="505108"/>
    <n v="513975"/>
    <m/>
    <m/>
    <m/>
    <m/>
    <m/>
    <m/>
    <m/>
    <m/>
    <n v="0"/>
    <n v="0"/>
    <n v="0"/>
    <n v="0"/>
    <m/>
    <m/>
    <n v="0"/>
    <n v="0"/>
    <n v="1772"/>
    <n v="1781"/>
    <n v="19503"/>
    <n v="20606"/>
    <n v="5820"/>
    <n v="5803"/>
    <n v="22540"/>
    <n v="24144"/>
    <n v="49635"/>
    <n v="2068.125"/>
    <n v="52334"/>
    <n v="2180.5833333333335"/>
    <n v="18905.058333333334"/>
    <n v="19313.083333333332"/>
  </r>
  <r>
    <x v="2"/>
    <s v="Delaware State University"/>
    <n v="130934"/>
    <x v="3"/>
    <s v="sem"/>
    <s v="sem"/>
    <m/>
    <m/>
    <n v="44907"/>
    <n v="42773"/>
    <n v="5820"/>
    <n v="5037"/>
    <n v="45384"/>
    <n v="45618"/>
    <n v="96111"/>
    <n v="3203.7"/>
    <n v="93428"/>
    <n v="3114.2666666666669"/>
    <n v="0"/>
    <n v="138"/>
    <n v="96111"/>
    <n v="93428"/>
    <m/>
    <m/>
    <m/>
    <m/>
    <m/>
    <m/>
    <m/>
    <m/>
    <n v="0"/>
    <n v="0"/>
    <n v="0"/>
    <n v="0"/>
    <m/>
    <m/>
    <n v="0"/>
    <n v="0"/>
    <m/>
    <m/>
    <n v="2880"/>
    <n v="2470"/>
    <n v="1430"/>
    <n v="901"/>
    <n v="2726"/>
    <n v="2848"/>
    <n v="7036"/>
    <n v="293.16666666666669"/>
    <n v="6219"/>
    <n v="259.125"/>
    <n v="3496.8666666666663"/>
    <n v="3373.3916666666669"/>
  </r>
  <r>
    <x v="2"/>
    <s v="Delaware Technical and Community College--Owens"/>
    <n v="130891"/>
    <x v="7"/>
    <s v="sem"/>
    <s v="sem"/>
    <m/>
    <m/>
    <n v="36617"/>
    <n v="40958"/>
    <n v="5094"/>
    <n v="7947"/>
    <n v="42099"/>
    <n v="49270"/>
    <n v="83810"/>
    <n v="2793.6666666666665"/>
    <n v="98175"/>
    <n v="3272.5"/>
    <n v="69"/>
    <n v="82"/>
    <n v="83810"/>
    <n v="98175"/>
    <m/>
    <m/>
    <m/>
    <m/>
    <m/>
    <m/>
    <m/>
    <m/>
    <n v="0"/>
    <n v="0"/>
    <n v="0"/>
    <n v="0"/>
    <m/>
    <m/>
    <n v="0"/>
    <n v="0"/>
    <m/>
    <m/>
    <m/>
    <m/>
    <m/>
    <m/>
    <m/>
    <m/>
    <n v="0"/>
    <n v="0"/>
    <n v="0"/>
    <n v="0"/>
    <n v="2793.6666666666665"/>
    <n v="3272.5"/>
  </r>
  <r>
    <x v="2"/>
    <s v="Delaware Technical and Community College--Stanton-Wilmington"/>
    <n v="130916"/>
    <x v="7"/>
    <s v="sem"/>
    <s v="sem"/>
    <m/>
    <m/>
    <n v="60261"/>
    <n v="64544"/>
    <n v="13215"/>
    <n v="17850"/>
    <n v="67081"/>
    <n v="74367"/>
    <n v="140557"/>
    <n v="4685.2333333333336"/>
    <n v="156761"/>
    <n v="5225.3666666666668"/>
    <n v="110"/>
    <n v="132"/>
    <n v="140557"/>
    <n v="156761"/>
    <m/>
    <m/>
    <m/>
    <m/>
    <m/>
    <m/>
    <m/>
    <m/>
    <n v="0"/>
    <n v="0"/>
    <n v="0"/>
    <n v="0"/>
    <m/>
    <m/>
    <n v="0"/>
    <n v="0"/>
    <m/>
    <m/>
    <m/>
    <m/>
    <m/>
    <m/>
    <m/>
    <m/>
    <n v="0"/>
    <n v="0"/>
    <n v="0"/>
    <n v="0"/>
    <n v="4685.2333333333336"/>
    <n v="5225.3666666666668"/>
  </r>
  <r>
    <x v="2"/>
    <s v="Delaware Technical and Community College--Terry"/>
    <n v="130907"/>
    <x v="7"/>
    <s v="sem"/>
    <s v="sem"/>
    <m/>
    <m/>
    <n v="27699"/>
    <n v="30484"/>
    <n v="5997"/>
    <n v="7967"/>
    <n v="31214"/>
    <n v="33821"/>
    <n v="64910"/>
    <n v="2163.6666666666665"/>
    <n v="72272"/>
    <n v="2409.0666666666666"/>
    <n v="51"/>
    <n v="60"/>
    <n v="64910"/>
    <n v="72272"/>
    <m/>
    <m/>
    <m/>
    <m/>
    <m/>
    <m/>
    <m/>
    <m/>
    <n v="0"/>
    <n v="0"/>
    <n v="0"/>
    <n v="0"/>
    <m/>
    <m/>
    <n v="0"/>
    <n v="0"/>
    <m/>
    <m/>
    <m/>
    <m/>
    <m/>
    <m/>
    <m/>
    <m/>
    <n v="0"/>
    <n v="0"/>
    <n v="0"/>
    <n v="0"/>
    <n v="2163.6666666666665"/>
    <n v="2409.0666666666666"/>
  </r>
  <r>
    <x v="3"/>
    <s v="Florida International University"/>
    <n v="133951"/>
    <x v="0"/>
    <s v="sem"/>
    <s v="sem"/>
    <m/>
    <m/>
    <n v="327861"/>
    <n v="324690"/>
    <n v="152635"/>
    <n v="149818"/>
    <n v="348970"/>
    <n v="353000"/>
    <n v="829466"/>
    <n v="27648.866666666665"/>
    <n v="827508"/>
    <n v="27583.599999999999"/>
    <n v="9489"/>
    <n v="10640"/>
    <n v="829466"/>
    <n v="827508"/>
    <m/>
    <m/>
    <m/>
    <m/>
    <m/>
    <m/>
    <m/>
    <m/>
    <n v="0"/>
    <n v="0"/>
    <n v="0"/>
    <n v="0"/>
    <m/>
    <m/>
    <n v="0"/>
    <n v="0"/>
    <m/>
    <m/>
    <n v="56152"/>
    <n v="59009"/>
    <n v="31872"/>
    <n v="33058"/>
    <n v="58124"/>
    <n v="66911"/>
    <n v="146148"/>
    <n v="6089.5"/>
    <n v="158978"/>
    <n v="6624.083333333333"/>
    <n v="33738.366666666669"/>
    <n v="34207.683333333334"/>
  </r>
  <r>
    <x v="3"/>
    <s v="Florida State University "/>
    <n v="134097"/>
    <x v="0"/>
    <s v="sem"/>
    <s v="sem"/>
    <m/>
    <m/>
    <n v="392813"/>
    <n v="373884"/>
    <n v="129070"/>
    <n v="130017"/>
    <n v="426688"/>
    <n v="447045"/>
    <n v="948571"/>
    <n v="31619.033333333333"/>
    <n v="950946"/>
    <n v="31698.2"/>
    <n v="1209"/>
    <n v="1323"/>
    <n v="948571"/>
    <n v="950946"/>
    <m/>
    <m/>
    <m/>
    <m/>
    <m/>
    <m/>
    <m/>
    <m/>
    <n v="0"/>
    <n v="0"/>
    <n v="0"/>
    <n v="0"/>
    <m/>
    <m/>
    <n v="0"/>
    <n v="0"/>
    <m/>
    <m/>
    <n v="70508"/>
    <n v="71373"/>
    <n v="38757"/>
    <n v="39707"/>
    <n v="73159"/>
    <n v="74807"/>
    <n v="182424"/>
    <n v="7601"/>
    <n v="185887"/>
    <n v="7745.291666666667"/>
    <n v="39220.033333333333"/>
    <n v="39443.491666666669"/>
  </r>
  <r>
    <x v="3"/>
    <s v="University of Central Florida "/>
    <n v="132903"/>
    <x v="0"/>
    <s v="sem"/>
    <s v="sem"/>
    <m/>
    <m/>
    <n v="475152"/>
    <n v="493586"/>
    <n v="175333"/>
    <n v="177413"/>
    <n v="510196"/>
    <n v="539657"/>
    <n v="1160681"/>
    <n v="38689.366666666669"/>
    <n v="1210656"/>
    <n v="40355.199999999997"/>
    <n v="650"/>
    <n v="501"/>
    <n v="1160681"/>
    <n v="1210656"/>
    <m/>
    <m/>
    <m/>
    <m/>
    <m/>
    <m/>
    <m/>
    <m/>
    <n v="0"/>
    <n v="0"/>
    <n v="0"/>
    <n v="0"/>
    <m/>
    <m/>
    <n v="0"/>
    <n v="0"/>
    <m/>
    <m/>
    <n v="43766"/>
    <n v="47430"/>
    <n v="24346"/>
    <n v="27059"/>
    <n v="48459"/>
    <n v="54754"/>
    <n v="116571"/>
    <n v="4857.125"/>
    <n v="129243"/>
    <n v="5385.125"/>
    <n v="43546.491666666669"/>
    <n v="45740.324999999997"/>
  </r>
  <r>
    <x v="3"/>
    <s v="University of Florida"/>
    <n v="134130"/>
    <x v="0"/>
    <s v="sem"/>
    <s v="sem"/>
    <m/>
    <m/>
    <n v="454614"/>
    <n v="443102"/>
    <n v="129962"/>
    <n v="125275"/>
    <n v="468688"/>
    <n v="452631"/>
    <n v="1053264"/>
    <n v="35108.800000000003"/>
    <n v="1021008"/>
    <n v="34033.599999999999"/>
    <n v="1059"/>
    <n v="884"/>
    <n v="1053264"/>
    <n v="1021008"/>
    <m/>
    <m/>
    <m/>
    <m/>
    <m/>
    <m/>
    <m/>
    <m/>
    <n v="0"/>
    <n v="0"/>
    <n v="0"/>
    <n v="0"/>
    <m/>
    <m/>
    <n v="0"/>
    <n v="0"/>
    <m/>
    <m/>
    <n v="140176"/>
    <n v="142828"/>
    <n v="62921"/>
    <n v="62725"/>
    <n v="152493"/>
    <n v="151822"/>
    <n v="355590"/>
    <n v="14816.25"/>
    <n v="357375"/>
    <n v="14890.625"/>
    <n v="49925.05"/>
    <n v="48924.224999999999"/>
  </r>
  <r>
    <x v="3"/>
    <s v="University of South Florida "/>
    <n v="137351"/>
    <x v="0"/>
    <s v="sem"/>
    <s v="sem"/>
    <m/>
    <m/>
    <n v="394583"/>
    <n v="400355"/>
    <n v="140834"/>
    <n v="150205"/>
    <n v="425141"/>
    <n v="436751"/>
    <n v="960558"/>
    <n v="32018.6"/>
    <n v="987311"/>
    <n v="32910.366666666669"/>
    <n v="18354"/>
    <n v="22647"/>
    <n v="960558"/>
    <n v="987311"/>
    <m/>
    <m/>
    <m/>
    <m/>
    <m/>
    <m/>
    <m/>
    <m/>
    <n v="0"/>
    <n v="0"/>
    <n v="0"/>
    <n v="0"/>
    <m/>
    <m/>
    <n v="0"/>
    <n v="0"/>
    <m/>
    <m/>
    <n v="68068"/>
    <n v="72441"/>
    <n v="36445"/>
    <n v="39305"/>
    <n v="72850"/>
    <n v="77334"/>
    <n v="177363"/>
    <n v="7390.125"/>
    <n v="189080"/>
    <n v="7878.333333333333"/>
    <n v="39408.724999999999"/>
    <n v="40788.700000000004"/>
  </r>
  <r>
    <x v="3"/>
    <s v="Florida Atlantic University "/>
    <n v="133669"/>
    <x v="1"/>
    <s v="sem"/>
    <s v="sem"/>
    <m/>
    <m/>
    <n v="210274"/>
    <n v="215843"/>
    <n v="77775"/>
    <n v="82644"/>
    <n v="231517"/>
    <n v="240567"/>
    <n v="519566"/>
    <n v="17318.866666666665"/>
    <n v="539054"/>
    <n v="17968.466666666667"/>
    <n v="3934"/>
    <n v="4408"/>
    <n v="519566"/>
    <n v="539054"/>
    <m/>
    <m/>
    <m/>
    <m/>
    <m/>
    <m/>
    <m/>
    <m/>
    <n v="0"/>
    <n v="0"/>
    <n v="0"/>
    <n v="0"/>
    <m/>
    <m/>
    <n v="0"/>
    <n v="0"/>
    <m/>
    <m/>
    <n v="27875"/>
    <n v="29154"/>
    <n v="18507"/>
    <n v="18610"/>
    <n v="29874"/>
    <n v="30833"/>
    <n v="76256"/>
    <n v="3177.3333333333335"/>
    <n v="78597"/>
    <n v="3274.875"/>
    <n v="20496.199999999997"/>
    <n v="21243.341666666667"/>
  </r>
  <r>
    <x v="3"/>
    <s v="Florida Agricultural &amp; Mechanical University "/>
    <n v="133650"/>
    <x v="2"/>
    <s v="sem"/>
    <s v="sem"/>
    <m/>
    <m/>
    <n v="121162"/>
    <n v="121205"/>
    <n v="33039"/>
    <n v="33940"/>
    <n v="135235"/>
    <n v="140384"/>
    <n v="289436"/>
    <n v="9647.8666666666668"/>
    <n v="295529"/>
    <n v="9850.9666666666672"/>
    <n v="2729"/>
    <n v="2507"/>
    <n v="289436"/>
    <n v="295529"/>
    <m/>
    <m/>
    <m/>
    <m/>
    <m/>
    <m/>
    <m/>
    <m/>
    <n v="0"/>
    <n v="0"/>
    <n v="0"/>
    <n v="0"/>
    <m/>
    <m/>
    <n v="0"/>
    <n v="0"/>
    <m/>
    <m/>
    <n v="18795"/>
    <n v="20419"/>
    <n v="6920"/>
    <n v="7522"/>
    <n v="21224"/>
    <n v="21414"/>
    <n v="46939"/>
    <n v="1955.7916666666667"/>
    <n v="49355"/>
    <n v="2056.4583333333335"/>
    <n v="11603.658333333333"/>
    <n v="11907.425000000001"/>
  </r>
  <r>
    <x v="3"/>
    <s v="University of North Florida"/>
    <n v="136172"/>
    <x v="2"/>
    <s v="sem"/>
    <s v="sem"/>
    <m/>
    <m/>
    <n v="158205"/>
    <n v="149960"/>
    <n v="56563"/>
    <n v="58048"/>
    <n v="157645"/>
    <n v="170160"/>
    <n v="372413"/>
    <n v="12413.766666666666"/>
    <n v="378168"/>
    <n v="12605.6"/>
    <n v="8351"/>
    <n v="6792"/>
    <n v="372413"/>
    <n v="378168"/>
    <m/>
    <m/>
    <m/>
    <m/>
    <m/>
    <m/>
    <m/>
    <m/>
    <n v="0"/>
    <n v="0"/>
    <n v="0"/>
    <n v="0"/>
    <m/>
    <m/>
    <n v="0"/>
    <n v="0"/>
    <m/>
    <m/>
    <n v="11712"/>
    <n v="12089"/>
    <n v="8294"/>
    <n v="7014"/>
    <n v="13201"/>
    <n v="14048"/>
    <n v="33207"/>
    <n v="1383.625"/>
    <n v="33151"/>
    <n v="1381.2916666666667"/>
    <n v="13797.391666666666"/>
    <n v="13986.891666666666"/>
  </r>
  <r>
    <x v="3"/>
    <s v="University of West Florida"/>
    <n v="138354"/>
    <x v="2"/>
    <s v="sem"/>
    <s v="sem"/>
    <m/>
    <m/>
    <n v="93046"/>
    <n v="92618"/>
    <n v="33630"/>
    <n v="34966"/>
    <n v="99545"/>
    <n v="103886"/>
    <n v="226221"/>
    <n v="7540.7"/>
    <n v="231470"/>
    <n v="7715.666666666667"/>
    <n v="240"/>
    <n v="402"/>
    <n v="226221"/>
    <n v="231470"/>
    <m/>
    <m/>
    <m/>
    <m/>
    <m/>
    <m/>
    <m/>
    <m/>
    <n v="0"/>
    <n v="0"/>
    <n v="0"/>
    <n v="0"/>
    <m/>
    <m/>
    <n v="0"/>
    <n v="0"/>
    <m/>
    <m/>
    <n v="8502"/>
    <n v="10219"/>
    <n v="7092"/>
    <n v="7333"/>
    <n v="9517"/>
    <n v="11799"/>
    <n v="25111"/>
    <n v="1046.2916666666667"/>
    <n v="29351"/>
    <n v="1222.9583333333333"/>
    <n v="8586.9916666666668"/>
    <n v="8938.625"/>
  </r>
  <r>
    <x v="3"/>
    <s v="Florida Gulf Coast University"/>
    <n v="433660"/>
    <x v="3"/>
    <s v="sem"/>
    <s v="sem"/>
    <m/>
    <m/>
    <n v="92415"/>
    <n v="102782"/>
    <n v="24463"/>
    <n v="25148"/>
    <n v="107932"/>
    <n v="119898"/>
    <n v="224810"/>
    <n v="7493.666666666667"/>
    <n v="247828"/>
    <n v="8260.9333333333325"/>
    <n v="1673"/>
    <n v="1977"/>
    <n v="224810"/>
    <n v="247828"/>
    <m/>
    <m/>
    <m/>
    <m/>
    <m/>
    <m/>
    <m/>
    <m/>
    <n v="0"/>
    <n v="0"/>
    <n v="0"/>
    <n v="0"/>
    <m/>
    <m/>
    <n v="0"/>
    <n v="0"/>
    <m/>
    <m/>
    <n v="6781"/>
    <n v="7947"/>
    <n v="4370"/>
    <n v="4716"/>
    <n v="8389"/>
    <n v="8885"/>
    <n v="19540"/>
    <n v="814.16666666666663"/>
    <n v="21548"/>
    <n v="897.83333333333337"/>
    <n v="8307.8333333333339"/>
    <n v="9158.7666666666664"/>
  </r>
  <r>
    <x v="3"/>
    <s v="New College of Florida"/>
    <n v="262129"/>
    <x v="5"/>
    <s v="sem"/>
    <s v="sem"/>
    <m/>
    <m/>
    <n v="12036"/>
    <n v="12132"/>
    <m/>
    <m/>
    <n v="14912"/>
    <n v="15740"/>
    <n v="26948"/>
    <n v="898.26666666666665"/>
    <n v="27872"/>
    <n v="929.06666666666672"/>
    <n v="68"/>
    <n v="56"/>
    <n v="26948"/>
    <n v="27872"/>
    <m/>
    <m/>
    <m/>
    <m/>
    <m/>
    <m/>
    <m/>
    <m/>
    <n v="0"/>
    <n v="0"/>
    <n v="0"/>
    <n v="0"/>
    <m/>
    <m/>
    <n v="0"/>
    <n v="0"/>
    <m/>
    <m/>
    <m/>
    <m/>
    <m/>
    <m/>
    <m/>
    <m/>
    <n v="0"/>
    <n v="0"/>
    <n v="0"/>
    <n v="0"/>
    <n v="898.26666666666665"/>
    <n v="929.06666666666672"/>
  </r>
  <r>
    <x v="3"/>
    <s v="Chipola College "/>
    <n v="133021"/>
    <x v="11"/>
    <s v="sem"/>
    <s v="sem"/>
    <m/>
    <m/>
    <n v="17114"/>
    <n v="19898"/>
    <n v="5427"/>
    <n v="5852"/>
    <n v="20776"/>
    <n v="21466"/>
    <n v="43317"/>
    <n v="1443.9"/>
    <n v="47216"/>
    <n v="1573.8666666666666"/>
    <n v="3901"/>
    <n v="4061"/>
    <n v="43317"/>
    <n v="47216"/>
    <m/>
    <m/>
    <n v="77854"/>
    <n v="78569"/>
    <n v="35962"/>
    <n v="27871"/>
    <n v="74951"/>
    <n v="67150"/>
    <n v="188767"/>
    <n v="209.74111111111111"/>
    <n v="173590"/>
    <n v="192.87777777777777"/>
    <n v="8267"/>
    <n v="7875"/>
    <n v="188767"/>
    <n v="173590"/>
    <m/>
    <m/>
    <m/>
    <m/>
    <m/>
    <m/>
    <m/>
    <m/>
    <n v="0"/>
    <n v="0"/>
    <n v="0"/>
    <n v="0"/>
    <n v="1653.6411111111113"/>
    <n v="1766.7444444444443"/>
  </r>
  <r>
    <x v="3"/>
    <s v="Daytona Beach Community College "/>
    <n v="133386"/>
    <x v="11"/>
    <s v="sem"/>
    <s v="sem"/>
    <m/>
    <m/>
    <n v="122409"/>
    <n v="139984"/>
    <n v="39427"/>
    <n v="45986"/>
    <n v="138542"/>
    <n v="166001"/>
    <n v="300378"/>
    <n v="10012.6"/>
    <n v="351971"/>
    <n v="11732.366666666667"/>
    <n v="17480"/>
    <n v="24182"/>
    <n v="300378"/>
    <n v="351971"/>
    <m/>
    <m/>
    <n v="1163385"/>
    <n v="1158022"/>
    <n v="628110"/>
    <n v="634041"/>
    <n v="1107943"/>
    <n v="1189859"/>
    <n v="2899438"/>
    <n v="3221.597777777778"/>
    <n v="2981922"/>
    <n v="3313.2466666666664"/>
    <n v="33028"/>
    <n v="33420"/>
    <n v="2899438"/>
    <n v="2981922"/>
    <m/>
    <m/>
    <m/>
    <m/>
    <m/>
    <m/>
    <m/>
    <m/>
    <n v="0"/>
    <n v="0"/>
    <n v="0"/>
    <n v="0"/>
    <n v="13234.197777777779"/>
    <n v="15045.613333333333"/>
  </r>
  <r>
    <x v="3"/>
    <s v="Miami Dade College "/>
    <n v="135717"/>
    <x v="11"/>
    <s v="sem"/>
    <s v="sem"/>
    <m/>
    <m/>
    <n v="516312"/>
    <n v="564398"/>
    <n v="272485"/>
    <n v="291031"/>
    <n v="565389"/>
    <n v="607975"/>
    <n v="1354186"/>
    <n v="45139.533333333333"/>
    <n v="1463404"/>
    <n v="48780.133333333331"/>
    <n v="19963"/>
    <n v="21986"/>
    <n v="1354186"/>
    <n v="1463404"/>
    <m/>
    <m/>
    <n v="3045387"/>
    <n v="3184728"/>
    <n v="2796873"/>
    <n v="2497876"/>
    <n v="2959024"/>
    <n v="2087029"/>
    <n v="8801284"/>
    <n v="9779.2044444444437"/>
    <n v="7769633"/>
    <n v="8632.9255555555555"/>
    <n v="0"/>
    <n v="0"/>
    <n v="8801284"/>
    <n v="7769633"/>
    <m/>
    <m/>
    <m/>
    <m/>
    <m/>
    <m/>
    <m/>
    <m/>
    <n v="0"/>
    <n v="0"/>
    <n v="0"/>
    <n v="0"/>
    <n v="54918.737777777773"/>
    <n v="57413.058888888889"/>
  </r>
  <r>
    <x v="3"/>
    <s v="Northwest Florida State College"/>
    <n v="136233"/>
    <x v="11"/>
    <s v="sem"/>
    <s v="sem"/>
    <m/>
    <m/>
    <n v="59403"/>
    <n v="63809"/>
    <n v="26034"/>
    <n v="28182"/>
    <n v="65288"/>
    <n v="67865"/>
    <n v="150725"/>
    <n v="5024.166666666667"/>
    <n v="159856"/>
    <n v="5328.5333333333338"/>
    <n v="5983"/>
    <n v="7085"/>
    <n v="150725"/>
    <n v="159856"/>
    <m/>
    <m/>
    <n v="138334"/>
    <n v="144218"/>
    <n v="83715"/>
    <n v="80889"/>
    <n v="145682"/>
    <n v="152125"/>
    <n v="367731"/>
    <n v="408.59"/>
    <n v="377232"/>
    <n v="419.14666666666665"/>
    <n v="0"/>
    <n v="0"/>
    <n v="367731"/>
    <n v="377232"/>
    <m/>
    <m/>
    <m/>
    <m/>
    <m/>
    <m/>
    <m/>
    <m/>
    <n v="0"/>
    <n v="0"/>
    <n v="0"/>
    <n v="0"/>
    <n v="5432.7566666666671"/>
    <n v="5747.68"/>
  </r>
  <r>
    <x v="3"/>
    <s v="St. Petersburg College "/>
    <n v="137078"/>
    <x v="11"/>
    <s v="sem"/>
    <s v="sem"/>
    <m/>
    <m/>
    <n v="212497"/>
    <n v="231691"/>
    <n v="85117"/>
    <n v="91746"/>
    <n v="229163"/>
    <n v="257786"/>
    <n v="526777"/>
    <n v="17559.233333333334"/>
    <n v="581223"/>
    <n v="19374.099999999999"/>
    <n v="17910"/>
    <n v="21652"/>
    <n v="526777"/>
    <n v="581223"/>
    <m/>
    <m/>
    <n v="147103"/>
    <n v="150094"/>
    <n v="88374"/>
    <n v="68586"/>
    <n v="174167"/>
    <n v="130056"/>
    <n v="409644"/>
    <n v="455.16"/>
    <n v="348736"/>
    <n v="387.48444444444442"/>
    <n v="0"/>
    <n v="0"/>
    <n v="409644"/>
    <n v="348736"/>
    <m/>
    <m/>
    <m/>
    <m/>
    <m/>
    <m/>
    <m/>
    <m/>
    <n v="0"/>
    <n v="0"/>
    <n v="0"/>
    <n v="0"/>
    <n v="18014.393333333333"/>
    <n v="19761.584444444445"/>
  </r>
  <r>
    <x v="3"/>
    <s v="Brevard Community College "/>
    <n v="132693"/>
    <x v="6"/>
    <s v="sem"/>
    <s v="sem"/>
    <m/>
    <m/>
    <n v="121486"/>
    <n v="137865"/>
    <n v="39473"/>
    <n v="48406"/>
    <n v="133277"/>
    <n v="153404"/>
    <n v="294236"/>
    <n v="9807.8666666666668"/>
    <n v="339675"/>
    <n v="11322.5"/>
    <n v="33203"/>
    <n v="40467"/>
    <n v="294236"/>
    <n v="339675"/>
    <m/>
    <m/>
    <n v="508014"/>
    <n v="514872"/>
    <n v="182056"/>
    <n v="185750"/>
    <n v="655185"/>
    <n v="688005"/>
    <n v="1345255"/>
    <n v="1494.7277777777779"/>
    <n v="1388627"/>
    <n v="1542.9188888888889"/>
    <n v="81951"/>
    <n v="78476"/>
    <n v="1345255"/>
    <n v="1388627"/>
    <m/>
    <m/>
    <m/>
    <m/>
    <m/>
    <m/>
    <m/>
    <m/>
    <n v="0"/>
    <n v="0"/>
    <n v="0"/>
    <n v="0"/>
    <n v="11302.594444444445"/>
    <n v="12865.418888888889"/>
  </r>
  <r>
    <x v="3"/>
    <s v="Broward Community College "/>
    <n v="132709"/>
    <x v="6"/>
    <s v="sem"/>
    <s v="sem"/>
    <m/>
    <m/>
    <n v="270956"/>
    <n v="298974"/>
    <n v="133254"/>
    <n v="151918"/>
    <n v="289901"/>
    <n v="330703"/>
    <n v="694111"/>
    <n v="23137.033333333333"/>
    <n v="781595"/>
    <n v="26053.166666666668"/>
    <n v="24859"/>
    <n v="29533"/>
    <n v="694111"/>
    <n v="781595"/>
    <m/>
    <m/>
    <n v="273147"/>
    <n v="252784"/>
    <n v="169468"/>
    <n v="143817"/>
    <n v="256481"/>
    <n v="222535"/>
    <n v="699096"/>
    <n v="776.77333333333331"/>
    <n v="619136"/>
    <n v="687.92888888888888"/>
    <n v="0"/>
    <n v="0"/>
    <n v="699096"/>
    <n v="619136"/>
    <m/>
    <m/>
    <m/>
    <m/>
    <m/>
    <m/>
    <m/>
    <m/>
    <n v="0"/>
    <n v="0"/>
    <n v="0"/>
    <n v="0"/>
    <n v="23913.806666666667"/>
    <n v="26741.095555555556"/>
  </r>
  <r>
    <x v="3"/>
    <s v="Edison State College "/>
    <n v="133508"/>
    <x v="6"/>
    <s v="sem"/>
    <s v="sem"/>
    <m/>
    <m/>
    <n v="99439"/>
    <n v="117087"/>
    <n v="43790"/>
    <n v="53812"/>
    <n v="116839"/>
    <n v="142615"/>
    <n v="260068"/>
    <n v="8668.9333333333325"/>
    <n v="313514"/>
    <n v="10450.466666666667"/>
    <n v="15951"/>
    <n v="18926"/>
    <n v="260068"/>
    <n v="313514"/>
    <m/>
    <m/>
    <n v="21084"/>
    <n v="26166"/>
    <n v="8943"/>
    <n v="27441"/>
    <n v="19383"/>
    <n v="27645"/>
    <n v="49410"/>
    <n v="54.9"/>
    <n v="81252"/>
    <n v="90.28"/>
    <n v="0"/>
    <n v="0"/>
    <n v="49410"/>
    <n v="81252"/>
    <m/>
    <m/>
    <m/>
    <m/>
    <m/>
    <m/>
    <m/>
    <m/>
    <n v="0"/>
    <n v="0"/>
    <n v="0"/>
    <n v="0"/>
    <n v="8723.8333333333321"/>
    <n v="10540.746666666668"/>
  </r>
  <r>
    <x v="3"/>
    <s v="Florida Community College at Jacksonville"/>
    <n v="133702"/>
    <x v="6"/>
    <s v="sem"/>
    <s v="sem"/>
    <m/>
    <m/>
    <n v="188007"/>
    <n v="210437"/>
    <n v="102116"/>
    <n v="119889"/>
    <n v="212972"/>
    <n v="249244"/>
    <n v="503095"/>
    <n v="16769.833333333332"/>
    <n v="579570"/>
    <n v="19319"/>
    <n v="16802"/>
    <n v="18904"/>
    <n v="503095"/>
    <n v="579570"/>
    <m/>
    <m/>
    <n v="2726747"/>
    <n v="2653565"/>
    <n v="1580613"/>
    <n v="2119915"/>
    <n v="2353574"/>
    <n v="1990251"/>
    <n v="6660934"/>
    <n v="7401.0377777777776"/>
    <n v="6763731"/>
    <n v="7515.2566666666671"/>
    <n v="35629"/>
    <n v="61720"/>
    <n v="6660934"/>
    <n v="6763731"/>
    <m/>
    <m/>
    <m/>
    <m/>
    <m/>
    <m/>
    <m/>
    <m/>
    <n v="0"/>
    <n v="0"/>
    <n v="0"/>
    <n v="0"/>
    <n v="24170.871111111112"/>
    <n v="26834.256666666668"/>
  </r>
  <r>
    <x v="3"/>
    <s v="Hillsborough Community College "/>
    <n v="134495"/>
    <x v="6"/>
    <s v="sem"/>
    <s v="sem"/>
    <m/>
    <m/>
    <n v="183758"/>
    <n v="210620"/>
    <n v="71207"/>
    <n v="79013"/>
    <n v="209829"/>
    <n v="239532"/>
    <n v="464794"/>
    <n v="15493.133333333333"/>
    <n v="529165"/>
    <n v="17638.833333333332"/>
    <n v="7057"/>
    <n v="8399"/>
    <n v="464794"/>
    <n v="529165"/>
    <m/>
    <m/>
    <n v="921346"/>
    <n v="917517"/>
    <n v="237818"/>
    <n v="212101"/>
    <n v="998985"/>
    <n v="849903"/>
    <n v="2158149"/>
    <n v="2397.9433333333332"/>
    <n v="1979521"/>
    <n v="2199.4677777777779"/>
    <n v="0"/>
    <n v="0"/>
    <n v="2158149"/>
    <n v="1979521"/>
    <m/>
    <m/>
    <m/>
    <m/>
    <m/>
    <m/>
    <m/>
    <m/>
    <n v="0"/>
    <n v="0"/>
    <n v="0"/>
    <n v="0"/>
    <n v="17891.076666666668"/>
    <n v="19838.301111111112"/>
  </r>
  <r>
    <x v="3"/>
    <s v="Indian River Community College "/>
    <n v="134608"/>
    <x v="6"/>
    <s v="sem"/>
    <s v="sem"/>
    <m/>
    <m/>
    <n v="102345"/>
    <n v="111836"/>
    <n v="52438"/>
    <n v="57119"/>
    <n v="115550"/>
    <n v="130192"/>
    <n v="270333"/>
    <n v="9011.1"/>
    <n v="299147"/>
    <n v="9971.5666666666675"/>
    <n v="21351"/>
    <n v="22507"/>
    <n v="270333"/>
    <n v="299147"/>
    <m/>
    <m/>
    <n v="1186062"/>
    <n v="1131898"/>
    <n v="887799"/>
    <n v="860225"/>
    <n v="1107926"/>
    <n v="1069541"/>
    <n v="3181787"/>
    <n v="3535.318888888889"/>
    <n v="3061664"/>
    <n v="3401.8488888888887"/>
    <n v="44814"/>
    <n v="48770"/>
    <n v="3181787"/>
    <n v="3061664"/>
    <m/>
    <m/>
    <m/>
    <m/>
    <m/>
    <m/>
    <m/>
    <m/>
    <n v="0"/>
    <n v="0"/>
    <n v="0"/>
    <n v="0"/>
    <n v="12546.418888888889"/>
    <n v="13373.415555555555"/>
  </r>
  <r>
    <x v="3"/>
    <s v="Palm Beach Community College "/>
    <n v="136358"/>
    <x v="6"/>
    <s v="sem"/>
    <s v="sem"/>
    <m/>
    <m/>
    <n v="172359"/>
    <n v="197359"/>
    <n v="77001"/>
    <n v="87019"/>
    <n v="202507"/>
    <n v="230776"/>
    <n v="451867"/>
    <n v="15062.233333333334"/>
    <n v="515154"/>
    <n v="17171.8"/>
    <n v="10397"/>
    <n v="14122"/>
    <n v="451867"/>
    <n v="515154"/>
    <m/>
    <m/>
    <n v="960460"/>
    <n v="912211"/>
    <n v="582060"/>
    <n v="488871"/>
    <n v="884467"/>
    <n v="748942"/>
    <n v="2426987"/>
    <n v="2696.652222222222"/>
    <n v="2150024"/>
    <n v="2388.9155555555553"/>
    <n v="274"/>
    <n v="9736"/>
    <n v="2426987"/>
    <n v="2150024"/>
    <m/>
    <m/>
    <m/>
    <m/>
    <m/>
    <m/>
    <m/>
    <m/>
    <n v="0"/>
    <n v="0"/>
    <n v="0"/>
    <n v="0"/>
    <n v="17758.885555555556"/>
    <n v="19560.715555555555"/>
  </r>
  <r>
    <x v="3"/>
    <s v="Pasco-Hernando Community College "/>
    <n v="136400"/>
    <x v="6"/>
    <s v="sem"/>
    <s v="sem"/>
    <m/>
    <m/>
    <n v="66278"/>
    <n v="73450"/>
    <n v="20786"/>
    <n v="24955"/>
    <n v="74361"/>
    <n v="87308"/>
    <n v="161425"/>
    <n v="5380.833333333333"/>
    <n v="185713"/>
    <n v="6190.4333333333334"/>
    <n v="13905"/>
    <n v="15214"/>
    <n v="161425"/>
    <n v="185713"/>
    <m/>
    <m/>
    <n v="157103"/>
    <n v="185052"/>
    <n v="88947"/>
    <n v="120958"/>
    <n v="159128"/>
    <n v="216745"/>
    <n v="405178"/>
    <n v="450.19777777777779"/>
    <n v="522755"/>
    <n v="580.83888888888885"/>
    <n v="4700"/>
    <n v="13085"/>
    <n v="405178"/>
    <n v="522755"/>
    <m/>
    <m/>
    <m/>
    <m/>
    <m/>
    <m/>
    <m/>
    <m/>
    <n v="0"/>
    <n v="0"/>
    <n v="0"/>
    <n v="0"/>
    <n v="5831.0311111111105"/>
    <n v="6771.2722222222219"/>
  </r>
  <r>
    <x v="3"/>
    <s v="Pensacola Junior College "/>
    <n v="136473"/>
    <x v="6"/>
    <s v="sem"/>
    <s v="sem"/>
    <m/>
    <m/>
    <n v="91540"/>
    <n v="93038"/>
    <n v="34536"/>
    <n v="36211"/>
    <n v="94363"/>
    <n v="102388"/>
    <n v="220439"/>
    <n v="7347.9666666666662"/>
    <n v="231637"/>
    <n v="7721.2333333333336"/>
    <n v="25151"/>
    <n v="23308"/>
    <n v="220439"/>
    <n v="231637"/>
    <m/>
    <m/>
    <n v="401564"/>
    <n v="463692"/>
    <n v="265990"/>
    <n v="257934"/>
    <n v="463155"/>
    <n v="468148"/>
    <n v="1130709"/>
    <n v="1256.3433333333332"/>
    <n v="1189774"/>
    <n v="1321.9711111111112"/>
    <n v="2640"/>
    <n v="2910"/>
    <n v="1130709"/>
    <n v="1189774"/>
    <m/>
    <m/>
    <m/>
    <m/>
    <m/>
    <m/>
    <m/>
    <m/>
    <n v="0"/>
    <n v="0"/>
    <n v="0"/>
    <n v="0"/>
    <n v="8604.31"/>
    <n v="9043.2044444444455"/>
  </r>
  <r>
    <x v="3"/>
    <s v="Polk Community College "/>
    <n v="136516"/>
    <x v="6"/>
    <s v="sem"/>
    <s v="sem"/>
    <m/>
    <m/>
    <n v="62691"/>
    <n v="71147"/>
    <n v="26582"/>
    <n v="30433"/>
    <n v="73173"/>
    <n v="80213"/>
    <n v="162446"/>
    <n v="5414.8666666666668"/>
    <n v="181793"/>
    <n v="6059.7666666666664"/>
    <n v="13762"/>
    <n v="10659"/>
    <n v="162446"/>
    <n v="181793"/>
    <m/>
    <m/>
    <n v="108646"/>
    <n v="118569"/>
    <n v="61594"/>
    <n v="48048"/>
    <n v="86814"/>
    <n v="103976"/>
    <n v="257054"/>
    <n v="285.61555555555555"/>
    <n v="270593"/>
    <n v="300.6588888888889"/>
    <n v="0"/>
    <n v="0"/>
    <n v="257054"/>
    <n v="270593"/>
    <m/>
    <m/>
    <m/>
    <m/>
    <m/>
    <m/>
    <m/>
    <m/>
    <n v="0"/>
    <n v="0"/>
    <n v="0"/>
    <n v="0"/>
    <n v="5700.4822222222219"/>
    <n v="6360.4255555555555"/>
  </r>
  <r>
    <x v="3"/>
    <s v="Santa Fe Community College "/>
    <n v="137096"/>
    <x v="6"/>
    <s v="sem"/>
    <s v="sem"/>
    <m/>
    <m/>
    <n v="139690"/>
    <n v="135579"/>
    <n v="57454"/>
    <n v="58401"/>
    <n v="146574"/>
    <n v="148075"/>
    <n v="343718"/>
    <n v="11457.266666666666"/>
    <n v="342055"/>
    <n v="11401.833333333334"/>
    <n v="11616"/>
    <n v="10802"/>
    <n v="343718"/>
    <n v="342055"/>
    <m/>
    <m/>
    <n v="61518"/>
    <n v="261297"/>
    <n v="166674"/>
    <n v="190484"/>
    <n v="276021"/>
    <n v="253300"/>
    <n v="504213"/>
    <n v="560.23666666666668"/>
    <n v="705081"/>
    <n v="783.42333333333329"/>
    <n v="2726"/>
    <n v="4113"/>
    <n v="504213"/>
    <n v="705081"/>
    <m/>
    <m/>
    <m/>
    <m/>
    <m/>
    <m/>
    <m/>
    <m/>
    <n v="0"/>
    <n v="0"/>
    <n v="0"/>
    <n v="0"/>
    <n v="12017.503333333334"/>
    <n v="12185.256666666668"/>
  </r>
  <r>
    <x v="3"/>
    <s v="Seminole Community College "/>
    <n v="137209"/>
    <x v="6"/>
    <s v="sem"/>
    <s v="sem"/>
    <m/>
    <m/>
    <n v="103483"/>
    <n v="123682"/>
    <n v="46304"/>
    <n v="57788"/>
    <n v="122395"/>
    <n v="149453"/>
    <n v="272182"/>
    <n v="9072.7333333333336"/>
    <n v="330923"/>
    <n v="11030.766666666666"/>
    <n v="4876"/>
    <n v="5223"/>
    <n v="272182"/>
    <n v="330923"/>
    <m/>
    <m/>
    <n v="826727"/>
    <n v="790694"/>
    <n v="554733"/>
    <n v="498528"/>
    <n v="778892"/>
    <n v="661764"/>
    <n v="2160352"/>
    <n v="2400.3911111111111"/>
    <n v="1950986"/>
    <n v="2167.7622222222221"/>
    <n v="20469"/>
    <n v="9926"/>
    <n v="2160352"/>
    <n v="1950986"/>
    <m/>
    <m/>
    <m/>
    <m/>
    <m/>
    <m/>
    <m/>
    <m/>
    <n v="0"/>
    <n v="0"/>
    <n v="0"/>
    <n v="0"/>
    <n v="11473.124444444446"/>
    <n v="13198.528888888888"/>
  </r>
  <r>
    <x v="3"/>
    <s v="State College of Florida, Manatee-Sarasota"/>
    <n v="135391"/>
    <x v="6"/>
    <s v="sem"/>
    <s v="sem"/>
    <m/>
    <m/>
    <n v="96769"/>
    <n v="107213"/>
    <n v="35429"/>
    <n v="42301"/>
    <n v="109207"/>
    <n v="122872"/>
    <n v="241405"/>
    <n v="8046.833333333333"/>
    <n v="272386"/>
    <n v="9079.5333333333328"/>
    <n v="11782"/>
    <n v="15512"/>
    <n v="241405"/>
    <n v="272386"/>
    <m/>
    <m/>
    <n v="58856"/>
    <n v="80416"/>
    <n v="67213"/>
    <n v="43581"/>
    <n v="50870"/>
    <n v="45870"/>
    <n v="176939"/>
    <n v="196.59888888888889"/>
    <n v="169867"/>
    <n v="188.74111111111111"/>
    <n v="0"/>
    <n v="0"/>
    <n v="176939"/>
    <n v="169867"/>
    <m/>
    <m/>
    <m/>
    <m/>
    <m/>
    <m/>
    <m/>
    <m/>
    <n v="0"/>
    <n v="0"/>
    <n v="0"/>
    <n v="0"/>
    <n v="8243.4322222222218"/>
    <n v="9268.2744444444434"/>
  </r>
  <r>
    <x v="3"/>
    <s v="Tallahassee Community College "/>
    <n v="137759"/>
    <x v="6"/>
    <s v="sem"/>
    <s v="sem"/>
    <m/>
    <m/>
    <n v="120032"/>
    <n v="127049"/>
    <n v="53130"/>
    <n v="57707"/>
    <n v="135412"/>
    <n v="142348"/>
    <n v="308574"/>
    <n v="10285.799999999999"/>
    <n v="327104"/>
    <n v="10903.466666666667"/>
    <n v="8713"/>
    <n v="7977"/>
    <n v="308574"/>
    <n v="327104"/>
    <m/>
    <m/>
    <n v="536091"/>
    <n v="402594"/>
    <n v="335499"/>
    <n v="309264"/>
    <n v="545793"/>
    <n v="469802"/>
    <n v="1417383"/>
    <n v="1574.87"/>
    <n v="1181660"/>
    <n v="1312.9555555555555"/>
    <n v="12696"/>
    <n v="12696"/>
    <n v="1417383"/>
    <n v="1181660"/>
    <m/>
    <m/>
    <m/>
    <m/>
    <m/>
    <m/>
    <m/>
    <m/>
    <n v="0"/>
    <n v="0"/>
    <n v="0"/>
    <n v="0"/>
    <n v="11860.669999999998"/>
    <n v="12216.422222222223"/>
  </r>
  <r>
    <x v="3"/>
    <s v="Valencia Community College "/>
    <n v="138187"/>
    <x v="6"/>
    <s v="sem"/>
    <s v="sem"/>
    <m/>
    <m/>
    <n v="283518"/>
    <n v="316829"/>
    <n v="129718"/>
    <n v="150043"/>
    <n v="323992"/>
    <n v="360933"/>
    <n v="737228"/>
    <n v="24574.266666666666"/>
    <n v="827805"/>
    <n v="27593.5"/>
    <n v="25442"/>
    <n v="29843"/>
    <n v="737228"/>
    <n v="827805"/>
    <m/>
    <m/>
    <n v="306819"/>
    <n v="256896"/>
    <n v="139516"/>
    <n v="75987"/>
    <n v="228973"/>
    <n v="181202"/>
    <n v="675308"/>
    <n v="750.34222222222218"/>
    <n v="514085"/>
    <n v="571.20555555555552"/>
    <n v="0"/>
    <n v="0"/>
    <n v="675308"/>
    <n v="514085"/>
    <m/>
    <m/>
    <m/>
    <m/>
    <m/>
    <m/>
    <m/>
    <m/>
    <n v="0"/>
    <n v="0"/>
    <n v="0"/>
    <n v="0"/>
    <n v="25324.608888888888"/>
    <n v="28164.705555555556"/>
  </r>
  <r>
    <x v="3"/>
    <s v="Central Florida Community College "/>
    <n v="132851"/>
    <x v="7"/>
    <s v="sem"/>
    <s v="sem"/>
    <m/>
    <m/>
    <n v="53276"/>
    <n v="61068"/>
    <n v="19721"/>
    <n v="22496"/>
    <n v="61720"/>
    <n v="73620"/>
    <n v="134717"/>
    <n v="4490.5666666666666"/>
    <n v="157184"/>
    <n v="5239.4666666666662"/>
    <n v="7298"/>
    <n v="8054"/>
    <n v="134717"/>
    <n v="157184"/>
    <m/>
    <m/>
    <n v="264709"/>
    <n v="264177"/>
    <n v="175180"/>
    <n v="174422"/>
    <n v="232716"/>
    <n v="252744"/>
    <n v="672605"/>
    <n v="747.33888888888885"/>
    <n v="691343"/>
    <n v="768.1588888888889"/>
    <n v="2190"/>
    <n v="3810"/>
    <n v="672605"/>
    <n v="691343"/>
    <m/>
    <m/>
    <m/>
    <m/>
    <m/>
    <m/>
    <m/>
    <m/>
    <n v="0"/>
    <n v="0"/>
    <n v="0"/>
    <n v="0"/>
    <n v="5237.9055555555551"/>
    <n v="6007.6255555555554"/>
  </r>
  <r>
    <x v="3"/>
    <s v="Gulf Coast Community College "/>
    <n v="134343"/>
    <x v="7"/>
    <s v="sem"/>
    <s v="sem"/>
    <m/>
    <m/>
    <n v="52275"/>
    <n v="55143"/>
    <n v="14613"/>
    <n v="15834"/>
    <n v="57368"/>
    <n v="60260"/>
    <n v="124256"/>
    <n v="4141.8666666666668"/>
    <n v="131237"/>
    <n v="4374.5666666666666"/>
    <n v="15020"/>
    <n v="16453"/>
    <n v="124256"/>
    <n v="131237"/>
    <m/>
    <m/>
    <n v="266191"/>
    <n v="221010"/>
    <n v="140050"/>
    <n v="146625"/>
    <n v="225665"/>
    <n v="195097"/>
    <n v="631906"/>
    <n v="702.11777777777775"/>
    <n v="562732"/>
    <n v="625.25777777777773"/>
    <n v="0"/>
    <n v="0"/>
    <n v="631906"/>
    <n v="562732"/>
    <m/>
    <m/>
    <m/>
    <m/>
    <m/>
    <m/>
    <m/>
    <m/>
    <n v="0"/>
    <n v="0"/>
    <n v="0"/>
    <n v="0"/>
    <n v="4843.9844444444443"/>
    <n v="4999.8244444444445"/>
  </r>
  <r>
    <x v="3"/>
    <s v="Lake City Community College "/>
    <n v="135160"/>
    <x v="7"/>
    <s v="sem"/>
    <s v="sem"/>
    <m/>
    <m/>
    <n v="22720"/>
    <n v="22358"/>
    <n v="9003"/>
    <n v="9994"/>
    <n v="22676"/>
    <n v="24662"/>
    <n v="54399"/>
    <n v="1813.3"/>
    <n v="57014"/>
    <n v="1900.4666666666667"/>
    <n v="7403"/>
    <n v="7851"/>
    <n v="54399"/>
    <n v="57014"/>
    <m/>
    <m/>
    <n v="94721"/>
    <n v="119546"/>
    <n v="76693"/>
    <n v="76160"/>
    <n v="84893"/>
    <n v="136236"/>
    <n v="256307"/>
    <n v="284.78555555555556"/>
    <n v="331942"/>
    <n v="368.82444444444445"/>
    <n v="630"/>
    <n v="4780"/>
    <n v="256307"/>
    <n v="331942"/>
    <m/>
    <m/>
    <m/>
    <m/>
    <m/>
    <m/>
    <m/>
    <m/>
    <n v="0"/>
    <n v="0"/>
    <n v="0"/>
    <n v="0"/>
    <n v="2098.0855555555554"/>
    <n v="2269.2911111111111"/>
  </r>
  <r>
    <x v="3"/>
    <s v="Lake-Sumter Community College "/>
    <n v="135188"/>
    <x v="7"/>
    <s v="sem"/>
    <s v="sem"/>
    <m/>
    <m/>
    <n v="32433"/>
    <n v="35632"/>
    <n v="10603"/>
    <n v="12742"/>
    <n v="36336"/>
    <n v="40905"/>
    <n v="79372"/>
    <n v="2645.7333333333331"/>
    <n v="89279"/>
    <n v="2975.9666666666667"/>
    <n v="6832"/>
    <n v="8826"/>
    <n v="79372"/>
    <n v="89279"/>
    <m/>
    <m/>
    <n v="19177"/>
    <n v="27686"/>
    <n v="18744"/>
    <n v="12851"/>
    <n v="27914"/>
    <n v="25320"/>
    <n v="65835"/>
    <n v="73.150000000000006"/>
    <n v="65857"/>
    <n v="73.174444444444447"/>
    <n v="0"/>
    <n v="0"/>
    <n v="65835"/>
    <n v="65857"/>
    <m/>
    <m/>
    <m/>
    <m/>
    <m/>
    <m/>
    <m/>
    <m/>
    <n v="0"/>
    <n v="0"/>
    <n v="0"/>
    <n v="0"/>
    <n v="2718.8833333333332"/>
    <n v="3049.1411111111111"/>
  </r>
  <r>
    <x v="3"/>
    <s v="South Florida Community College "/>
    <n v="137315"/>
    <x v="7"/>
    <s v="sem"/>
    <s v="sem"/>
    <m/>
    <m/>
    <n v="17445"/>
    <n v="19463"/>
    <n v="5400"/>
    <n v="6184"/>
    <n v="19738"/>
    <n v="21887"/>
    <n v="42583"/>
    <n v="1419.4333333333334"/>
    <n v="47534"/>
    <n v="1584.4666666666667"/>
    <n v="5166"/>
    <n v="5140"/>
    <n v="42583"/>
    <n v="47534"/>
    <m/>
    <m/>
    <n v="430118"/>
    <n v="429350"/>
    <n v="248597"/>
    <n v="264595"/>
    <n v="468793"/>
    <n v="422895"/>
    <n v="1147508"/>
    <n v="1275.0088888888888"/>
    <n v="1116840"/>
    <n v="1240.9333333333334"/>
    <n v="131644"/>
    <n v="113601"/>
    <n v="1147508"/>
    <n v="1116840"/>
    <m/>
    <m/>
    <m/>
    <m/>
    <m/>
    <m/>
    <m/>
    <m/>
    <n v="0"/>
    <n v="0"/>
    <n v="0"/>
    <n v="0"/>
    <n v="2694.442222222222"/>
    <n v="2825.4"/>
  </r>
  <r>
    <x v="3"/>
    <s v="St. Johns River Community College "/>
    <n v="137281"/>
    <x v="7"/>
    <s v="sem"/>
    <s v="sem"/>
    <m/>
    <m/>
    <n v="43468"/>
    <n v="48834"/>
    <n v="19427"/>
    <n v="22224"/>
    <n v="48449"/>
    <n v="55222"/>
    <n v="111344"/>
    <n v="3711.4666666666667"/>
    <n v="126280"/>
    <n v="4209.333333333333"/>
    <n v="10096"/>
    <n v="12315"/>
    <n v="111344"/>
    <n v="126280"/>
    <m/>
    <m/>
    <n v="221359"/>
    <n v="196969"/>
    <n v="135469"/>
    <n v="128795"/>
    <n v="243580"/>
    <n v="189331"/>
    <n v="600408"/>
    <n v="667.12"/>
    <n v="515095"/>
    <n v="572.32777777777778"/>
    <n v="0"/>
    <n v="2475"/>
    <n v="600408"/>
    <n v="515095"/>
    <m/>
    <m/>
    <m/>
    <m/>
    <m/>
    <m/>
    <m/>
    <m/>
    <n v="0"/>
    <n v="0"/>
    <n v="0"/>
    <n v="0"/>
    <n v="4378.586666666667"/>
    <n v="4781.6611111111106"/>
  </r>
  <r>
    <x v="3"/>
    <s v="Florida Keys Community College "/>
    <n v="133960"/>
    <x v="8"/>
    <s v="sem"/>
    <s v="sem"/>
    <m/>
    <m/>
    <n v="9933"/>
    <n v="10693"/>
    <n v="3613"/>
    <n v="4325"/>
    <n v="10982"/>
    <n v="13105"/>
    <n v="24528"/>
    <n v="817.6"/>
    <n v="28123"/>
    <n v="937.43333333333328"/>
    <n v="2702"/>
    <n v="3168"/>
    <n v="24528"/>
    <n v="28123"/>
    <m/>
    <m/>
    <n v="18522"/>
    <n v="32560"/>
    <n v="8988"/>
    <n v="9214"/>
    <n v="24487"/>
    <n v="21882"/>
    <n v="51997"/>
    <n v="57.774444444444441"/>
    <n v="63656"/>
    <n v="70.728888888888889"/>
    <n v="0"/>
    <n v="0"/>
    <n v="51997"/>
    <n v="63656"/>
    <m/>
    <m/>
    <m/>
    <m/>
    <m/>
    <m/>
    <m/>
    <m/>
    <n v="0"/>
    <n v="0"/>
    <n v="0"/>
    <n v="0"/>
    <n v="875.37444444444441"/>
    <n v="1008.1622222222222"/>
  </r>
  <r>
    <x v="3"/>
    <s v="North Florida Community College "/>
    <n v="136145"/>
    <x v="8"/>
    <s v="sem"/>
    <s v="sem"/>
    <m/>
    <m/>
    <n v="9577"/>
    <n v="8619"/>
    <n v="2664"/>
    <n v="3194"/>
    <n v="9725"/>
    <n v="10612"/>
    <n v="21966"/>
    <n v="732.2"/>
    <n v="22425"/>
    <n v="747.5"/>
    <n v="3131"/>
    <n v="3232"/>
    <n v="21966"/>
    <n v="22425"/>
    <m/>
    <m/>
    <n v="54381"/>
    <n v="53618"/>
    <n v="24601"/>
    <n v="16458"/>
    <n v="75293"/>
    <n v="62593"/>
    <n v="154275"/>
    <n v="171.41666666666666"/>
    <n v="132669"/>
    <n v="147.41"/>
    <n v="180"/>
    <n v="0"/>
    <n v="154275"/>
    <n v="132669"/>
    <m/>
    <m/>
    <m/>
    <m/>
    <m/>
    <m/>
    <m/>
    <m/>
    <n v="0"/>
    <n v="0"/>
    <n v="0"/>
    <n v="0"/>
    <n v="903.61666666666667"/>
    <n v="894.91"/>
  </r>
  <r>
    <x v="4"/>
    <s v="Georgia State University "/>
    <n v="139940"/>
    <x v="0"/>
    <s v="sem"/>
    <s v="sem"/>
    <m/>
    <m/>
    <n v="238791"/>
    <n v="251868"/>
    <n v="70525"/>
    <n v="75821"/>
    <n v="258599.5"/>
    <n v="279880"/>
    <n v="567915.5"/>
    <n v="18930.516666666666"/>
    <n v="607569"/>
    <n v="20252.3"/>
    <n v="1895"/>
    <n v="2205.5"/>
    <n v="567915.5"/>
    <n v="607569"/>
    <m/>
    <m/>
    <m/>
    <m/>
    <m/>
    <m/>
    <m/>
    <m/>
    <n v="0"/>
    <n v="0"/>
    <n v="0"/>
    <n v="0"/>
    <m/>
    <m/>
    <n v="0"/>
    <n v="0"/>
    <m/>
    <m/>
    <n v="73973.5"/>
    <n v="78008"/>
    <n v="45385"/>
    <n v="48463"/>
    <n v="80625.5"/>
    <n v="88194"/>
    <n v="199984"/>
    <n v="8332.6666666666661"/>
    <n v="208291"/>
    <n v="8678.7916666666661"/>
    <n v="27263.183333333334"/>
    <n v="28931.091666666667"/>
  </r>
  <r>
    <x v="4"/>
    <s v="University of Georgia"/>
    <n v="139959"/>
    <x v="0"/>
    <s v="sem"/>
    <s v="sem"/>
    <m/>
    <m/>
    <n v="324391.5"/>
    <n v="332602"/>
    <n v="60782"/>
    <n v="60543"/>
    <n v="344966.8"/>
    <n v="355063"/>
    <n v="730140.3"/>
    <n v="24338.010000000002"/>
    <n v="748208"/>
    <n v="24940.266666666666"/>
    <n v="239"/>
    <n v="116"/>
    <n v="730140.3"/>
    <n v="748208"/>
    <m/>
    <m/>
    <m/>
    <m/>
    <m/>
    <m/>
    <m/>
    <m/>
    <n v="0"/>
    <n v="0"/>
    <n v="0"/>
    <n v="0"/>
    <m/>
    <m/>
    <n v="0"/>
    <n v="0"/>
    <m/>
    <m/>
    <n v="91334.1"/>
    <n v="93835"/>
    <n v="39373.599999999999"/>
    <n v="40128"/>
    <n v="96843.199999999997"/>
    <n v="99666"/>
    <n v="227550.90000000002"/>
    <n v="9481.2875000000004"/>
    <n v="233629"/>
    <n v="9734.5416666666661"/>
    <n v="33819.297500000001"/>
    <n v="34674.808333333334"/>
  </r>
  <r>
    <x v="4"/>
    <s v="Georgia Institute of Technology"/>
    <n v="139755"/>
    <x v="1"/>
    <s v="sem"/>
    <s v="sem"/>
    <m/>
    <m/>
    <n v="164290"/>
    <n v="168069"/>
    <n v="39122"/>
    <n v="43320"/>
    <n v="180806"/>
    <n v="186574"/>
    <n v="384218"/>
    <n v="12807.266666666666"/>
    <n v="397963"/>
    <n v="13265.433333333332"/>
    <n v="1173"/>
    <n v="1817"/>
    <n v="384218"/>
    <n v="397963"/>
    <m/>
    <m/>
    <m/>
    <m/>
    <m/>
    <m/>
    <m/>
    <m/>
    <n v="0"/>
    <n v="0"/>
    <n v="0"/>
    <n v="0"/>
    <m/>
    <m/>
    <n v="0"/>
    <n v="0"/>
    <m/>
    <m/>
    <n v="84295"/>
    <n v="86356"/>
    <n v="41288"/>
    <n v="42089"/>
    <n v="92342"/>
    <n v="96797"/>
    <n v="217925"/>
    <n v="9080.2083333333339"/>
    <n v="225242"/>
    <n v="9385.0833333333339"/>
    <n v="21887.474999999999"/>
    <n v="22650.516666666666"/>
  </r>
  <r>
    <x v="4"/>
    <s v="Georgia Southern University"/>
    <n v="139931"/>
    <x v="2"/>
    <s v="sem"/>
    <s v="sem"/>
    <m/>
    <m/>
    <n v="186324"/>
    <n v="191910"/>
    <n v="50377"/>
    <n v="57190"/>
    <n v="209026"/>
    <n v="223285"/>
    <n v="445727"/>
    <n v="14857.566666666668"/>
    <n v="472385"/>
    <n v="15746.166666666666"/>
    <n v="1688"/>
    <n v="1685"/>
    <n v="445727"/>
    <n v="472385"/>
    <m/>
    <m/>
    <m/>
    <m/>
    <m/>
    <m/>
    <m/>
    <m/>
    <n v="0"/>
    <n v="0"/>
    <n v="0"/>
    <n v="0"/>
    <m/>
    <m/>
    <n v="0"/>
    <n v="0"/>
    <m/>
    <m/>
    <n v="12244"/>
    <n v="14991"/>
    <n v="9026"/>
    <n v="10718"/>
    <n v="14391"/>
    <n v="17220"/>
    <n v="35661"/>
    <n v="1485.875"/>
    <n v="42929"/>
    <n v="1788.7083333333333"/>
    <n v="16343.441666666668"/>
    <n v="17534.875"/>
  </r>
  <r>
    <x v="4"/>
    <s v="University of West Georgia"/>
    <n v="141334"/>
    <x v="2"/>
    <s v="sem"/>
    <s v="sem"/>
    <m/>
    <m/>
    <n v="107395"/>
    <n v="112633"/>
    <n v="28968"/>
    <n v="15995"/>
    <n v="120212"/>
    <n v="125667"/>
    <n v="256575"/>
    <n v="8552.5"/>
    <n v="254295"/>
    <n v="8476.5"/>
    <n v="3024"/>
    <n v="2794"/>
    <n v="256575"/>
    <n v="254295"/>
    <m/>
    <m/>
    <m/>
    <m/>
    <m/>
    <m/>
    <m/>
    <m/>
    <n v="0"/>
    <n v="0"/>
    <n v="0"/>
    <n v="0"/>
    <m/>
    <m/>
    <n v="0"/>
    <n v="0"/>
    <m/>
    <m/>
    <n v="10592"/>
    <n v="10368"/>
    <n v="9941"/>
    <n v="8800"/>
    <n v="11078"/>
    <n v="13448"/>
    <n v="31611"/>
    <n v="1317.125"/>
    <n v="32616"/>
    <n v="1359"/>
    <n v="9869.625"/>
    <n v="9835.5"/>
  </r>
  <r>
    <x v="4"/>
    <s v="Valdosta State University "/>
    <n v="141264"/>
    <x v="2"/>
    <s v="sem"/>
    <s v="sem"/>
    <m/>
    <m/>
    <n v="118862"/>
    <n v="123174"/>
    <n v="24646"/>
    <n v="24333"/>
    <n v="128774"/>
    <n v="138191"/>
    <n v="272282"/>
    <n v="9076.0666666666675"/>
    <n v="285698"/>
    <n v="9523.2666666666664"/>
    <n v="372"/>
    <n v="268"/>
    <n v="272282"/>
    <n v="285698"/>
    <m/>
    <m/>
    <m/>
    <m/>
    <m/>
    <m/>
    <m/>
    <m/>
    <n v="0"/>
    <n v="0"/>
    <n v="0"/>
    <n v="0"/>
    <m/>
    <m/>
    <n v="0"/>
    <n v="0"/>
    <m/>
    <m/>
    <n v="10775"/>
    <n v="11991"/>
    <n v="8342"/>
    <n v="9208"/>
    <n v="11628"/>
    <n v="10531"/>
    <n v="30745"/>
    <n v="1281.0416666666667"/>
    <n v="31730"/>
    <n v="1322.0833333333333"/>
    <n v="10357.108333333334"/>
    <n v="10845.35"/>
  </r>
  <r>
    <x v="4"/>
    <s v="Albany State University "/>
    <n v="138716"/>
    <x v="3"/>
    <s v="sem"/>
    <s v="sem"/>
    <m/>
    <m/>
    <n v="45830"/>
    <n v="47170"/>
    <n v="11966"/>
    <n v="13721"/>
    <n v="49176"/>
    <n v="52570"/>
    <n v="106972"/>
    <n v="3565.7333333333331"/>
    <n v="113461"/>
    <n v="3782.0333333333333"/>
    <n v="27"/>
    <n v="49"/>
    <n v="106972"/>
    <n v="113461"/>
    <m/>
    <m/>
    <m/>
    <m/>
    <m/>
    <m/>
    <m/>
    <m/>
    <n v="0"/>
    <n v="0"/>
    <n v="0"/>
    <n v="0"/>
    <m/>
    <m/>
    <n v="0"/>
    <n v="0"/>
    <m/>
    <m/>
    <n v="2559"/>
    <n v="2804"/>
    <n v="2035"/>
    <n v="1908"/>
    <n v="2634"/>
    <n v="2717"/>
    <n v="7228"/>
    <n v="301.16666666666669"/>
    <n v="7429"/>
    <n v="309.54166666666669"/>
    <n v="3866.8999999999996"/>
    <n v="4091.5749999999998"/>
  </r>
  <r>
    <x v="4"/>
    <s v="Armstrong Atlantic State University"/>
    <n v="138789"/>
    <x v="3"/>
    <s v="sem"/>
    <s v="sem"/>
    <m/>
    <m/>
    <n v="64535"/>
    <n v="69099"/>
    <n v="17941"/>
    <n v="19694"/>
    <n v="72293.899999999994"/>
    <n v="78244"/>
    <n v="154769.9"/>
    <n v="5158.9966666666669"/>
    <n v="167037"/>
    <n v="5567.9"/>
    <n v="874"/>
    <n v="912"/>
    <n v="154769.9"/>
    <n v="167037"/>
    <m/>
    <m/>
    <m/>
    <m/>
    <m/>
    <m/>
    <m/>
    <m/>
    <n v="0"/>
    <n v="0"/>
    <n v="0"/>
    <n v="0"/>
    <m/>
    <m/>
    <n v="0"/>
    <n v="0"/>
    <m/>
    <m/>
    <n v="4483"/>
    <n v="5707"/>
    <n v="3651"/>
    <n v="3493"/>
    <n v="4833"/>
    <n v="5989"/>
    <n v="12967"/>
    <n v="540.29166666666663"/>
    <n v="15189"/>
    <n v="632.875"/>
    <n v="5699.2883333333339"/>
    <n v="6200.7749999999996"/>
  </r>
  <r>
    <x v="4"/>
    <s v="Columbus State University"/>
    <n v="139366"/>
    <x v="3"/>
    <s v="sem"/>
    <s v="sem"/>
    <m/>
    <m/>
    <n v="72540"/>
    <n v="76007"/>
    <n v="21280"/>
    <n v="22241"/>
    <n v="80178"/>
    <n v="82424"/>
    <n v="173998"/>
    <n v="5799.9333333333334"/>
    <n v="180672"/>
    <n v="6022.4"/>
    <n v="933"/>
    <n v="1122"/>
    <n v="173998"/>
    <n v="180672"/>
    <m/>
    <m/>
    <m/>
    <m/>
    <m/>
    <m/>
    <m/>
    <m/>
    <n v="0"/>
    <n v="0"/>
    <n v="0"/>
    <n v="0"/>
    <m/>
    <m/>
    <n v="0"/>
    <n v="0"/>
    <m/>
    <m/>
    <n v="7217"/>
    <n v="7402"/>
    <n v="4927"/>
    <n v="5204"/>
    <n v="7237"/>
    <n v="8122"/>
    <n v="19381"/>
    <n v="807.54166666666663"/>
    <n v="20728"/>
    <n v="863.66666666666663"/>
    <n v="6607.4750000000004"/>
    <n v="6886.0666666666666"/>
  </r>
  <r>
    <x v="4"/>
    <s v="Georgia College and State University"/>
    <n v="139861"/>
    <x v="3"/>
    <s v="sem"/>
    <s v="sem"/>
    <m/>
    <m/>
    <n v="68831"/>
    <n v="70384"/>
    <n v="13886"/>
    <n v="15537"/>
    <n v="74894"/>
    <n v="76893"/>
    <n v="157611"/>
    <n v="5253.7"/>
    <n v="162814"/>
    <n v="5427.1333333333332"/>
    <n v="366"/>
    <n v="432"/>
    <n v="157611"/>
    <n v="162814"/>
    <m/>
    <m/>
    <m/>
    <m/>
    <m/>
    <m/>
    <m/>
    <m/>
    <n v="0"/>
    <n v="0"/>
    <n v="0"/>
    <n v="0"/>
    <m/>
    <m/>
    <n v="0"/>
    <n v="0"/>
    <m/>
    <m/>
    <n v="6609"/>
    <n v="7492"/>
    <n v="5492"/>
    <n v="5457"/>
    <n v="7385"/>
    <n v="7218"/>
    <n v="19486"/>
    <n v="811.91666666666663"/>
    <n v="20167"/>
    <n v="840.29166666666663"/>
    <n v="6065.6166666666668"/>
    <n v="6267.4250000000002"/>
  </r>
  <r>
    <x v="4"/>
    <s v="Kennesaw State University"/>
    <n v="140164"/>
    <x v="3"/>
    <s v="sem"/>
    <s v="sem"/>
    <m/>
    <m/>
    <n v="210012"/>
    <n v="222311"/>
    <n v="64204"/>
    <n v="71042"/>
    <n v="232183"/>
    <n v="247637"/>
    <n v="506399"/>
    <n v="16879.966666666667"/>
    <n v="540990"/>
    <n v="18033"/>
    <n v="1953"/>
    <n v="2192"/>
    <n v="506399"/>
    <n v="540990"/>
    <m/>
    <m/>
    <m/>
    <m/>
    <m/>
    <m/>
    <m/>
    <m/>
    <n v="0"/>
    <n v="0"/>
    <n v="0"/>
    <n v="0"/>
    <m/>
    <m/>
    <n v="0"/>
    <n v="0"/>
    <m/>
    <m/>
    <n v="15950"/>
    <n v="15498"/>
    <n v="10241"/>
    <n v="9547"/>
    <n v="16514"/>
    <n v="15401"/>
    <n v="42705"/>
    <n v="1779.375"/>
    <n v="40446"/>
    <n v="1685.25"/>
    <n v="18659.341666666667"/>
    <n v="19718.25"/>
  </r>
  <r>
    <x v="4"/>
    <s v="Augusta State University"/>
    <n v="138983"/>
    <x v="4"/>
    <s v="sem"/>
    <s v="sem"/>
    <m/>
    <m/>
    <n v="60974"/>
    <n v="62990"/>
    <n v="16813"/>
    <n v="18383"/>
    <n v="65869"/>
    <n v="69897"/>
    <n v="143656"/>
    <n v="4788.5333333333338"/>
    <n v="151270"/>
    <n v="5042.333333333333"/>
    <n v="736"/>
    <n v="737"/>
    <n v="143656"/>
    <n v="151270"/>
    <m/>
    <m/>
    <m/>
    <m/>
    <m/>
    <m/>
    <m/>
    <m/>
    <n v="0"/>
    <n v="0"/>
    <n v="0"/>
    <n v="0"/>
    <m/>
    <m/>
    <n v="0"/>
    <n v="0"/>
    <m/>
    <m/>
    <n v="5974"/>
    <n v="6988"/>
    <n v="5910"/>
    <n v="5377"/>
    <n v="6756"/>
    <n v="7328"/>
    <n v="18640"/>
    <n v="776.66666666666663"/>
    <n v="19693"/>
    <n v="820.54166666666663"/>
    <n v="5565.2000000000007"/>
    <n v="5862.875"/>
  </r>
  <r>
    <x v="4"/>
    <s v="Fort Valley State University"/>
    <n v="139719"/>
    <x v="4"/>
    <s v="sem"/>
    <s v="sem"/>
    <m/>
    <m/>
    <n v="30965"/>
    <n v="38152"/>
    <n v="7242"/>
    <n v="7342"/>
    <n v="40265"/>
    <n v="44814"/>
    <n v="78472"/>
    <n v="2615.7333333333331"/>
    <n v="90308"/>
    <n v="3010.2666666666669"/>
    <n v="105"/>
    <n v="125"/>
    <n v="78472"/>
    <n v="90308"/>
    <m/>
    <m/>
    <m/>
    <m/>
    <m/>
    <m/>
    <m/>
    <m/>
    <n v="0"/>
    <n v="0"/>
    <n v="0"/>
    <n v="0"/>
    <m/>
    <m/>
    <n v="0"/>
    <n v="0"/>
    <m/>
    <m/>
    <n v="748"/>
    <n v="1090"/>
    <n v="398"/>
    <n v="483"/>
    <n v="983"/>
    <n v="1019"/>
    <n v="2129"/>
    <n v="88.708333333333329"/>
    <n v="2592"/>
    <n v="108"/>
    <n v="2704.4416666666666"/>
    <n v="3118.2666666666669"/>
  </r>
  <r>
    <x v="4"/>
    <s v="Georgia Southwestern State University"/>
    <n v="139764"/>
    <x v="4"/>
    <s v="sem"/>
    <s v="sem"/>
    <m/>
    <m/>
    <n v="25149"/>
    <n v="27440"/>
    <n v="8776"/>
    <n v="9017"/>
    <n v="28960"/>
    <n v="31636"/>
    <n v="62885"/>
    <n v="2096.1666666666665"/>
    <n v="68093"/>
    <n v="2269.7666666666669"/>
    <n v="401"/>
    <n v="487"/>
    <n v="62885"/>
    <n v="68093"/>
    <m/>
    <m/>
    <m/>
    <m/>
    <m/>
    <m/>
    <m/>
    <m/>
    <n v="0"/>
    <n v="0"/>
    <n v="0"/>
    <n v="0"/>
    <m/>
    <m/>
    <n v="0"/>
    <n v="0"/>
    <m/>
    <m/>
    <n v="1053"/>
    <n v="2436"/>
    <n v="1029"/>
    <n v="3009"/>
    <n v="2418"/>
    <n v="2085"/>
    <n v="4500"/>
    <n v="187.5"/>
    <n v="7530"/>
    <n v="313.75"/>
    <n v="2283.6666666666665"/>
    <n v="2583.5166666666669"/>
  </r>
  <r>
    <x v="4"/>
    <s v="North Georgia College and State University"/>
    <n v="140669"/>
    <x v="4"/>
    <s v="sem"/>
    <s v="sem"/>
    <m/>
    <m/>
    <n v="56558"/>
    <n v="59565"/>
    <n v="11685"/>
    <n v="12728"/>
    <n v="61500"/>
    <n v="63252"/>
    <n v="129743"/>
    <n v="4324.7666666666664"/>
    <n v="135545"/>
    <n v="4518.166666666667"/>
    <n v="189"/>
    <n v="275"/>
    <n v="129743"/>
    <n v="135545"/>
    <m/>
    <m/>
    <m/>
    <m/>
    <m/>
    <m/>
    <m/>
    <m/>
    <n v="0"/>
    <n v="0"/>
    <n v="0"/>
    <n v="0"/>
    <m/>
    <m/>
    <n v="0"/>
    <n v="0"/>
    <m/>
    <m/>
    <n v="3821"/>
    <n v="3066"/>
    <n v="4234"/>
    <n v="2452"/>
    <n v="3847"/>
    <n v="3449"/>
    <n v="11902"/>
    <n v="495.91666666666669"/>
    <n v="8967"/>
    <n v="373.625"/>
    <n v="4820.6833333333334"/>
    <n v="4891.791666666667"/>
  </r>
  <r>
    <x v="4"/>
    <s v="Savannah State University"/>
    <n v="140960"/>
    <x v="4"/>
    <s v="sem"/>
    <s v="sem"/>
    <m/>
    <m/>
    <n v="37883"/>
    <n v="44080"/>
    <n v="9232"/>
    <n v="9512"/>
    <n v="44929"/>
    <n v="49160"/>
    <n v="92044"/>
    <n v="3068.1333333333332"/>
    <n v="102752"/>
    <n v="3425.0666666666666"/>
    <n v="221"/>
    <n v="440"/>
    <n v="92044"/>
    <n v="102752"/>
    <m/>
    <m/>
    <m/>
    <m/>
    <m/>
    <m/>
    <m/>
    <m/>
    <n v="0"/>
    <n v="0"/>
    <n v="0"/>
    <n v="0"/>
    <m/>
    <m/>
    <n v="0"/>
    <n v="0"/>
    <m/>
    <m/>
    <n v="1055"/>
    <n v="944"/>
    <n v="357"/>
    <n v="376"/>
    <n v="967"/>
    <n v="1262"/>
    <n v="2379"/>
    <n v="99.125"/>
    <n v="2582"/>
    <n v="107.58333333333333"/>
    <n v="3167.2583333333332"/>
    <n v="3532.65"/>
  </r>
  <r>
    <x v="4"/>
    <s v="Clayton State University"/>
    <n v="139311"/>
    <x v="5"/>
    <s v="sem"/>
    <s v="sem"/>
    <m/>
    <m/>
    <n v="61913"/>
    <n v="65204"/>
    <n v="23273"/>
    <n v="25267"/>
    <n v="63680"/>
    <n v="69309"/>
    <n v="148866"/>
    <n v="4962.2"/>
    <n v="159780"/>
    <n v="5326"/>
    <n v="2599"/>
    <n v="3246"/>
    <n v="148866"/>
    <n v="159780"/>
    <m/>
    <m/>
    <m/>
    <m/>
    <m/>
    <m/>
    <m/>
    <m/>
    <n v="0"/>
    <n v="0"/>
    <n v="0"/>
    <n v="0"/>
    <m/>
    <m/>
    <n v="0"/>
    <n v="0"/>
    <m/>
    <m/>
    <n v="826"/>
    <n v="1110"/>
    <n v="510"/>
    <n v="657"/>
    <n v="1164"/>
    <n v="1230"/>
    <n v="2500"/>
    <n v="104.16666666666667"/>
    <n v="2997"/>
    <n v="124.875"/>
    <n v="5066.3666666666668"/>
    <n v="5450.875"/>
  </r>
  <r>
    <x v="4"/>
    <s v="Macon State College "/>
    <n v="140322"/>
    <x v="5"/>
    <s v="sem"/>
    <s v="sem"/>
    <m/>
    <m/>
    <n v="59003"/>
    <n v="62510"/>
    <n v="23920"/>
    <n v="23997"/>
    <n v="63523"/>
    <n v="67388"/>
    <n v="146446"/>
    <n v="4881.5333333333338"/>
    <n v="153895"/>
    <n v="5129.833333333333"/>
    <n v="794"/>
    <n v="743"/>
    <n v="146446"/>
    <n v="153895"/>
    <m/>
    <m/>
    <m/>
    <m/>
    <m/>
    <m/>
    <m/>
    <m/>
    <n v="0"/>
    <n v="0"/>
    <n v="0"/>
    <n v="0"/>
    <m/>
    <m/>
    <n v="0"/>
    <n v="0"/>
    <m/>
    <m/>
    <m/>
    <m/>
    <m/>
    <m/>
    <m/>
    <m/>
    <n v="0"/>
    <n v="0"/>
    <n v="0"/>
    <n v="0"/>
    <n v="4881.5333333333338"/>
    <n v="5129.833333333333"/>
  </r>
  <r>
    <x v="4"/>
    <s v="Dalton State College "/>
    <n v="139463"/>
    <x v="11"/>
    <s v="sem"/>
    <s v="sem"/>
    <m/>
    <m/>
    <n v="41952"/>
    <n v="49502"/>
    <n v="12194"/>
    <n v="14358"/>
    <n v="50966"/>
    <n v="61264"/>
    <n v="105112"/>
    <n v="3503.7333333333331"/>
    <n v="125124"/>
    <n v="4170.8"/>
    <n v="906"/>
    <n v="1065"/>
    <n v="105112"/>
    <n v="125124"/>
    <m/>
    <m/>
    <m/>
    <m/>
    <m/>
    <m/>
    <m/>
    <m/>
    <n v="0"/>
    <n v="0"/>
    <n v="0"/>
    <n v="0"/>
    <m/>
    <m/>
    <n v="0"/>
    <n v="0"/>
    <m/>
    <m/>
    <m/>
    <m/>
    <m/>
    <m/>
    <m/>
    <m/>
    <n v="0"/>
    <n v="0"/>
    <n v="0"/>
    <n v="0"/>
    <n v="3503.7333333333331"/>
    <n v="4170.8"/>
  </r>
  <r>
    <x v="4"/>
    <s v="Georgia Perimeter College "/>
    <n v="244437"/>
    <x v="6"/>
    <s v="sem"/>
    <s v="sem"/>
    <m/>
    <m/>
    <n v="202370"/>
    <n v="225921"/>
    <n v="79386"/>
    <n v="92228"/>
    <n v="215707"/>
    <n v="240833"/>
    <n v="497463"/>
    <n v="16582.099999999999"/>
    <n v="558982"/>
    <n v="18632.733333333334"/>
    <n v="9330"/>
    <n v="9003"/>
    <n v="497463"/>
    <n v="558982"/>
    <m/>
    <m/>
    <m/>
    <m/>
    <m/>
    <m/>
    <m/>
    <m/>
    <n v="0"/>
    <n v="0"/>
    <n v="0"/>
    <n v="0"/>
    <m/>
    <m/>
    <n v="0"/>
    <n v="0"/>
    <m/>
    <m/>
    <m/>
    <m/>
    <m/>
    <m/>
    <m/>
    <m/>
    <n v="0"/>
    <n v="0"/>
    <n v="0"/>
    <n v="0"/>
    <n v="16582.099999999999"/>
    <n v="18632.733333333334"/>
  </r>
  <r>
    <x v="4"/>
    <s v="Abraham Baldwin Agricultural College "/>
    <n v="138558"/>
    <x v="7"/>
    <s v="sem"/>
    <s v="sem"/>
    <m/>
    <m/>
    <n v="36552"/>
    <n v="37753"/>
    <n v="7671"/>
    <n v="8238"/>
    <n v="41998"/>
    <n v="39550"/>
    <n v="86221"/>
    <n v="2874.0333333333333"/>
    <n v="85541"/>
    <n v="2851.3666666666668"/>
    <n v="399"/>
    <n v="296"/>
    <n v="86221"/>
    <n v="85541"/>
    <m/>
    <m/>
    <m/>
    <m/>
    <m/>
    <m/>
    <m/>
    <m/>
    <n v="0"/>
    <n v="0"/>
    <n v="0"/>
    <n v="0"/>
    <m/>
    <m/>
    <n v="0"/>
    <n v="0"/>
    <m/>
    <m/>
    <m/>
    <m/>
    <m/>
    <m/>
    <m/>
    <m/>
    <n v="0"/>
    <n v="0"/>
    <n v="0"/>
    <n v="0"/>
    <n v="2874.0333333333333"/>
    <n v="2851.3666666666668"/>
  </r>
  <r>
    <x v="4"/>
    <s v="Bainbridge College "/>
    <n v="139010"/>
    <x v="7"/>
    <s v="sem"/>
    <s v="sem"/>
    <m/>
    <m/>
    <n v="25200"/>
    <n v="31046"/>
    <n v="12440"/>
    <n v="17788"/>
    <n v="29642"/>
    <n v="36256"/>
    <n v="67282"/>
    <n v="2242.7333333333331"/>
    <n v="85090"/>
    <n v="2836.3333333333335"/>
    <n v="3310"/>
    <n v="2400"/>
    <n v="67282"/>
    <n v="85090"/>
    <m/>
    <m/>
    <m/>
    <m/>
    <m/>
    <m/>
    <m/>
    <m/>
    <n v="0"/>
    <n v="0"/>
    <n v="0"/>
    <n v="0"/>
    <m/>
    <m/>
    <n v="0"/>
    <n v="0"/>
    <m/>
    <m/>
    <m/>
    <m/>
    <m/>
    <m/>
    <m/>
    <m/>
    <n v="0"/>
    <n v="0"/>
    <n v="0"/>
    <n v="0"/>
    <n v="2242.7333333333331"/>
    <n v="2836.3333333333335"/>
  </r>
  <r>
    <x v="4"/>
    <s v="College of Coastal Georgia "/>
    <n v="139250"/>
    <x v="7"/>
    <s v="sem"/>
    <s v="sem"/>
    <m/>
    <m/>
    <n v="24689.5"/>
    <n v="25361"/>
    <n v="8288"/>
    <n v="7889"/>
    <n v="26820"/>
    <n v="30745"/>
    <n v="59797.5"/>
    <n v="1993.25"/>
    <n v="63995"/>
    <n v="2133.1666666666665"/>
    <n v="549"/>
    <n v="377"/>
    <n v="59797.5"/>
    <n v="63995"/>
    <m/>
    <m/>
    <m/>
    <m/>
    <m/>
    <m/>
    <m/>
    <m/>
    <n v="0"/>
    <n v="0"/>
    <n v="0"/>
    <n v="0"/>
    <m/>
    <m/>
    <n v="0"/>
    <n v="0"/>
    <m/>
    <m/>
    <m/>
    <m/>
    <m/>
    <m/>
    <m/>
    <m/>
    <n v="0"/>
    <n v="0"/>
    <n v="0"/>
    <n v="0"/>
    <n v="1993.25"/>
    <n v="2133.1666666666665"/>
  </r>
  <r>
    <x v="4"/>
    <s v="Darton College "/>
    <n v="138691"/>
    <x v="7"/>
    <s v="sem"/>
    <s v="sem"/>
    <m/>
    <m/>
    <n v="42553.5"/>
    <n v="46162"/>
    <n v="21883"/>
    <n v="25986"/>
    <n v="49620.5"/>
    <n v="59081"/>
    <n v="114057"/>
    <n v="3801.9"/>
    <n v="131229"/>
    <n v="4374.3"/>
    <n v="855"/>
    <n v="686.5"/>
    <n v="114057"/>
    <n v="131229"/>
    <m/>
    <m/>
    <m/>
    <m/>
    <m/>
    <m/>
    <m/>
    <m/>
    <n v="0"/>
    <n v="0"/>
    <n v="0"/>
    <n v="0"/>
    <m/>
    <m/>
    <n v="0"/>
    <n v="0"/>
    <m/>
    <m/>
    <m/>
    <m/>
    <m/>
    <m/>
    <m/>
    <m/>
    <n v="0"/>
    <n v="0"/>
    <n v="0"/>
    <n v="0"/>
    <n v="3801.9"/>
    <n v="4374.3"/>
  </r>
  <r>
    <x v="4"/>
    <s v="Gainesville State College "/>
    <n v="139773"/>
    <x v="7"/>
    <s v="sem"/>
    <s v="sem"/>
    <m/>
    <m/>
    <n v="76439"/>
    <n v="84451"/>
    <n v="19237"/>
    <n v="20500"/>
    <n v="91517"/>
    <n v="98727"/>
    <n v="187193"/>
    <n v="6239.7666666666664"/>
    <n v="203678"/>
    <n v="6789.2666666666664"/>
    <n v="1415"/>
    <n v="1636"/>
    <n v="187193"/>
    <n v="203678"/>
    <m/>
    <m/>
    <m/>
    <m/>
    <m/>
    <m/>
    <m/>
    <m/>
    <n v="0"/>
    <n v="0"/>
    <n v="0"/>
    <n v="0"/>
    <m/>
    <m/>
    <n v="0"/>
    <n v="0"/>
    <m/>
    <m/>
    <m/>
    <m/>
    <m/>
    <m/>
    <m/>
    <m/>
    <n v="0"/>
    <n v="0"/>
    <n v="0"/>
    <n v="0"/>
    <n v="6239.7666666666664"/>
    <n v="6789.2666666666664"/>
  </r>
  <r>
    <x v="4"/>
    <s v="Georgia Highlands College"/>
    <n v="139700"/>
    <x v="7"/>
    <s v="sem"/>
    <s v="sem"/>
    <m/>
    <m/>
    <n v="43495"/>
    <n v="48501"/>
    <n v="11293"/>
    <n v="13494"/>
    <n v="48965"/>
    <n v="55975"/>
    <n v="103753"/>
    <n v="3458.4333333333334"/>
    <n v="117970"/>
    <n v="3932.3333333333335"/>
    <n v="849"/>
    <n v="780"/>
    <n v="103753"/>
    <n v="117970"/>
    <m/>
    <m/>
    <m/>
    <m/>
    <m/>
    <m/>
    <m/>
    <m/>
    <n v="0"/>
    <n v="0"/>
    <n v="0"/>
    <n v="0"/>
    <m/>
    <m/>
    <n v="0"/>
    <n v="0"/>
    <m/>
    <m/>
    <m/>
    <m/>
    <m/>
    <m/>
    <m/>
    <m/>
    <n v="0"/>
    <n v="0"/>
    <n v="0"/>
    <n v="0"/>
    <n v="3458.4333333333334"/>
    <n v="3932.3333333333335"/>
  </r>
  <r>
    <x v="4"/>
    <s v="Gordon College "/>
    <n v="139968"/>
    <x v="7"/>
    <s v="sem"/>
    <s v="sem"/>
    <m/>
    <m/>
    <n v="38237"/>
    <n v="44063"/>
    <n v="7129"/>
    <n v="8302"/>
    <n v="45210"/>
    <n v="54343"/>
    <n v="90576"/>
    <n v="3019.2"/>
    <n v="106708"/>
    <n v="3556.9333333333334"/>
    <n v="658"/>
    <n v="451"/>
    <n v="90576"/>
    <n v="106708"/>
    <m/>
    <m/>
    <m/>
    <m/>
    <m/>
    <m/>
    <m/>
    <m/>
    <n v="0"/>
    <n v="0"/>
    <n v="0"/>
    <n v="0"/>
    <m/>
    <m/>
    <n v="0"/>
    <n v="0"/>
    <m/>
    <m/>
    <m/>
    <m/>
    <m/>
    <m/>
    <m/>
    <m/>
    <n v="0"/>
    <n v="0"/>
    <n v="0"/>
    <n v="0"/>
    <n v="3019.2"/>
    <n v="3556.9333333333334"/>
  </r>
  <r>
    <x v="4"/>
    <s v="Middle Georgia College "/>
    <n v="140483"/>
    <x v="7"/>
    <s v="sem"/>
    <s v="sem"/>
    <m/>
    <m/>
    <n v="36036"/>
    <n v="37778"/>
    <n v="10482"/>
    <n v="12090"/>
    <n v="38649"/>
    <n v="42607"/>
    <n v="85167"/>
    <n v="2838.9"/>
    <n v="92475"/>
    <n v="3082.5"/>
    <n v="3542"/>
    <n v="3561"/>
    <n v="85167"/>
    <n v="92475"/>
    <m/>
    <m/>
    <m/>
    <m/>
    <m/>
    <m/>
    <m/>
    <m/>
    <n v="0"/>
    <n v="0"/>
    <n v="0"/>
    <n v="0"/>
    <m/>
    <m/>
    <n v="0"/>
    <n v="0"/>
    <m/>
    <m/>
    <m/>
    <m/>
    <m/>
    <m/>
    <m/>
    <m/>
    <n v="0"/>
    <n v="0"/>
    <n v="0"/>
    <n v="0"/>
    <n v="2838.9"/>
    <n v="3082.5"/>
  </r>
  <r>
    <x v="4"/>
    <s v="Atlanta Metropolitan College"/>
    <n v="138901"/>
    <x v="8"/>
    <s v="sem"/>
    <s v="sem"/>
    <m/>
    <m/>
    <n v="20845"/>
    <n v="25125"/>
    <n v="9182"/>
    <n v="10406"/>
    <n v="23644"/>
    <n v="30323"/>
    <n v="53671"/>
    <n v="1789.0333333333333"/>
    <n v="65854"/>
    <n v="2195.1333333333332"/>
    <n v="225"/>
    <n v="46"/>
    <n v="53671"/>
    <n v="65854"/>
    <m/>
    <m/>
    <m/>
    <m/>
    <m/>
    <m/>
    <m/>
    <m/>
    <n v="0"/>
    <n v="0"/>
    <n v="0"/>
    <n v="0"/>
    <m/>
    <m/>
    <n v="0"/>
    <n v="0"/>
    <m/>
    <m/>
    <m/>
    <m/>
    <m/>
    <m/>
    <m/>
    <m/>
    <n v="0"/>
    <n v="0"/>
    <n v="0"/>
    <n v="0"/>
    <n v="1789.0333333333333"/>
    <n v="2195.1333333333332"/>
  </r>
  <r>
    <x v="4"/>
    <s v="East Georgia College"/>
    <n v="139621"/>
    <x v="8"/>
    <s v="sem"/>
    <s v="sem"/>
    <m/>
    <m/>
    <n v="22043"/>
    <n v="28874"/>
    <n v="5889"/>
    <n v="6773"/>
    <n v="29401"/>
    <n v="31818"/>
    <n v="57333"/>
    <n v="1911.1"/>
    <n v="67465"/>
    <n v="2248.8333333333335"/>
    <n v="311"/>
    <n v="337"/>
    <n v="57333"/>
    <n v="67465"/>
    <m/>
    <m/>
    <m/>
    <m/>
    <m/>
    <m/>
    <m/>
    <m/>
    <n v="0"/>
    <n v="0"/>
    <n v="0"/>
    <n v="0"/>
    <m/>
    <m/>
    <n v="0"/>
    <n v="0"/>
    <m/>
    <m/>
    <m/>
    <m/>
    <m/>
    <m/>
    <m/>
    <m/>
    <n v="0"/>
    <n v="0"/>
    <n v="0"/>
    <n v="0"/>
    <n v="1911.1"/>
    <n v="2248.8333333333335"/>
  </r>
  <r>
    <x v="4"/>
    <s v="South Georgia College "/>
    <n v="140997"/>
    <x v="8"/>
    <s v="sem"/>
    <s v="sem"/>
    <m/>
    <m/>
    <n v="19237"/>
    <n v="20376"/>
    <n v="5053"/>
    <n v="5898"/>
    <n v="22140"/>
    <n v="24196"/>
    <n v="46430"/>
    <n v="1547.6666666666667"/>
    <n v="50470"/>
    <n v="1682.3333333333333"/>
    <n v="363"/>
    <n v="262"/>
    <n v="46430"/>
    <n v="50470"/>
    <m/>
    <m/>
    <m/>
    <m/>
    <m/>
    <m/>
    <m/>
    <m/>
    <n v="0"/>
    <n v="0"/>
    <n v="0"/>
    <n v="0"/>
    <m/>
    <m/>
    <n v="0"/>
    <n v="0"/>
    <m/>
    <m/>
    <m/>
    <m/>
    <m/>
    <m/>
    <m/>
    <m/>
    <n v="0"/>
    <n v="0"/>
    <n v="0"/>
    <n v="0"/>
    <n v="1547.6666666666667"/>
    <n v="1682.3333333333333"/>
  </r>
  <r>
    <x v="4"/>
    <s v="Waycross College "/>
    <n v="141307"/>
    <x v="8"/>
    <s v="sem"/>
    <s v="sem"/>
    <m/>
    <m/>
    <n v="8119"/>
    <n v="8944"/>
    <n v="2632"/>
    <n v="3658"/>
    <n v="8948"/>
    <n v="10694"/>
    <n v="19699"/>
    <n v="656.63333333333333"/>
    <n v="23296"/>
    <n v="776.5333333333333"/>
    <n v="544"/>
    <n v="887"/>
    <n v="19699"/>
    <n v="23296"/>
    <m/>
    <m/>
    <m/>
    <m/>
    <m/>
    <m/>
    <m/>
    <m/>
    <n v="0"/>
    <n v="0"/>
    <n v="0"/>
    <n v="0"/>
    <m/>
    <m/>
    <n v="0"/>
    <n v="0"/>
    <m/>
    <m/>
    <m/>
    <m/>
    <m/>
    <m/>
    <m/>
    <m/>
    <n v="0"/>
    <n v="0"/>
    <n v="0"/>
    <n v="0"/>
    <n v="656.63333333333333"/>
    <n v="776.5333333333333"/>
  </r>
  <r>
    <x v="4"/>
    <s v="Georgia Gwinnett College"/>
    <n v="447689"/>
    <x v="12"/>
    <s v="sem"/>
    <s v="sem"/>
    <m/>
    <m/>
    <n v="10164"/>
    <n v="18368"/>
    <n v="2665"/>
    <n v="5394"/>
    <n v="18150"/>
    <n v="34405"/>
    <n v="30979"/>
    <n v="1032.6333333333334"/>
    <n v="58167"/>
    <n v="1938.9"/>
    <m/>
    <n v="458"/>
    <n v="0"/>
    <n v="58167"/>
    <m/>
    <m/>
    <m/>
    <m/>
    <m/>
    <m/>
    <m/>
    <m/>
    <n v="0"/>
    <n v="0"/>
    <n v="0"/>
    <n v="0"/>
    <m/>
    <m/>
    <n v="0"/>
    <n v="0"/>
    <m/>
    <m/>
    <m/>
    <m/>
    <m/>
    <m/>
    <m/>
    <m/>
    <n v="0"/>
    <n v="0"/>
    <n v="0"/>
    <n v="0"/>
    <n v="1032.6333333333334"/>
    <n v="1938.9"/>
  </r>
  <r>
    <x v="4"/>
    <s v="Albany Technical College"/>
    <n v="138682"/>
    <x v="9"/>
    <s v="quar"/>
    <s v="Quarter"/>
    <n v="30723"/>
    <n v="34661"/>
    <n v="30296"/>
    <n v="36454"/>
    <n v="25771"/>
    <n v="36751"/>
    <n v="35841"/>
    <n v="49467"/>
    <n v="122631"/>
    <n v="2725.1333333333332"/>
    <n v="157333"/>
    <n v="3496.2888888888888"/>
    <n v="772"/>
    <n v="609"/>
    <n v="122631"/>
    <n v="157333"/>
    <m/>
    <m/>
    <m/>
    <m/>
    <m/>
    <m/>
    <m/>
    <m/>
    <n v="0"/>
    <n v="0"/>
    <n v="0"/>
    <n v="0"/>
    <m/>
    <m/>
    <n v="0"/>
    <n v="0"/>
    <m/>
    <m/>
    <m/>
    <m/>
    <m/>
    <m/>
    <m/>
    <m/>
    <n v="0"/>
    <n v="0"/>
    <n v="0"/>
    <n v="0"/>
    <n v="2725.1333333333332"/>
    <n v="3496.2888888888888"/>
  </r>
  <r>
    <x v="4"/>
    <s v="Athens Technical College"/>
    <n v="246813"/>
    <x v="9"/>
    <s v="quar"/>
    <s v="Quarter"/>
    <n v="37721"/>
    <n v="39603"/>
    <n v="34707"/>
    <n v="38367"/>
    <n v="19584"/>
    <n v="24731"/>
    <n v="41236"/>
    <n v="52419"/>
    <n v="133248"/>
    <n v="2961.0666666666666"/>
    <n v="155120"/>
    <n v="3447.1111111111113"/>
    <n v="2034"/>
    <n v="1291"/>
    <n v="133248"/>
    <n v="155120"/>
    <m/>
    <m/>
    <m/>
    <m/>
    <m/>
    <m/>
    <m/>
    <m/>
    <n v="0"/>
    <n v="0"/>
    <n v="0"/>
    <n v="0"/>
    <m/>
    <m/>
    <n v="0"/>
    <n v="0"/>
    <m/>
    <m/>
    <m/>
    <m/>
    <m/>
    <m/>
    <m/>
    <m/>
    <n v="0"/>
    <n v="0"/>
    <n v="0"/>
    <n v="0"/>
    <n v="2961.0666666666666"/>
    <n v="3447.1111111111113"/>
  </r>
  <r>
    <x v="4"/>
    <s v="Atlanta Technical College"/>
    <n v="138840"/>
    <x v="9"/>
    <s v="quar"/>
    <s v="Quarter"/>
    <n v="36958"/>
    <n v="37598"/>
    <n v="35226"/>
    <n v="42235"/>
    <n v="28404"/>
    <n v="39492"/>
    <n v="36532"/>
    <n v="53336"/>
    <n v="137120"/>
    <n v="3047.1111111111113"/>
    <n v="172661"/>
    <n v="3836.911111111111"/>
    <n v="2104"/>
    <n v="2854"/>
    <n v="137120"/>
    <n v="172661"/>
    <m/>
    <m/>
    <m/>
    <m/>
    <m/>
    <m/>
    <m/>
    <m/>
    <n v="0"/>
    <n v="0"/>
    <n v="0"/>
    <n v="0"/>
    <m/>
    <m/>
    <n v="0"/>
    <n v="0"/>
    <m/>
    <m/>
    <m/>
    <m/>
    <m/>
    <m/>
    <m/>
    <m/>
    <n v="0"/>
    <n v="0"/>
    <n v="0"/>
    <n v="0"/>
    <n v="3047.1111111111113"/>
    <n v="3836.911111111111"/>
  </r>
  <r>
    <x v="4"/>
    <s v="Augusta Technical College"/>
    <n v="138956"/>
    <x v="9"/>
    <s v="quar"/>
    <s v="Quarter"/>
    <n v="46224"/>
    <n v="46433"/>
    <n v="43305"/>
    <n v="45499"/>
    <n v="33391"/>
    <n v="36450"/>
    <n v="51563"/>
    <n v="54892"/>
    <n v="174483"/>
    <n v="3877.4"/>
    <n v="183274"/>
    <n v="4072.7555555555555"/>
    <n v="1651"/>
    <n v="1111"/>
    <n v="174483"/>
    <n v="183274"/>
    <m/>
    <m/>
    <m/>
    <m/>
    <m/>
    <m/>
    <m/>
    <m/>
    <n v="0"/>
    <n v="0"/>
    <n v="0"/>
    <n v="0"/>
    <m/>
    <m/>
    <n v="0"/>
    <n v="0"/>
    <m/>
    <m/>
    <m/>
    <m/>
    <m/>
    <m/>
    <m/>
    <m/>
    <n v="0"/>
    <n v="0"/>
    <n v="0"/>
    <n v="0"/>
    <n v="3877.4"/>
    <n v="4072.7555555555555"/>
  </r>
  <r>
    <x v="4"/>
    <s v="Central Georgia Technical College"/>
    <n v="140304"/>
    <x v="9"/>
    <s v="quar"/>
    <s v="Quarter"/>
    <n v="51449"/>
    <n v="60780"/>
    <n v="47131"/>
    <n v="61231"/>
    <n v="40738"/>
    <n v="53249"/>
    <n v="58962"/>
    <n v="77433"/>
    <n v="198280"/>
    <n v="4406.2222222222226"/>
    <n v="252693"/>
    <n v="5615.4"/>
    <n v="3520"/>
    <n v="3806"/>
    <n v="198280"/>
    <n v="252693"/>
    <m/>
    <m/>
    <m/>
    <m/>
    <m/>
    <m/>
    <m/>
    <m/>
    <n v="0"/>
    <n v="0"/>
    <n v="0"/>
    <n v="0"/>
    <m/>
    <m/>
    <n v="0"/>
    <n v="0"/>
    <m/>
    <m/>
    <m/>
    <m/>
    <m/>
    <m/>
    <m/>
    <m/>
    <n v="0"/>
    <n v="0"/>
    <n v="0"/>
    <n v="0"/>
    <n v="4406.2222222222226"/>
    <n v="5615.4"/>
  </r>
  <r>
    <x v="4"/>
    <s v="Chattahoochee Technical College"/>
    <n v="140331"/>
    <x v="9"/>
    <s v="quar"/>
    <s v="Quarter"/>
    <n v="84548"/>
    <n v="95125"/>
    <n v="84279"/>
    <n v="94591"/>
    <n v="56404"/>
    <n v="73900"/>
    <n v="98964"/>
    <n v="124065"/>
    <n v="324195"/>
    <n v="7204.333333333333"/>
    <n v="387681"/>
    <n v="8615.1333333333332"/>
    <n v="11864.8"/>
    <n v="3279"/>
    <n v="324195"/>
    <n v="387681"/>
    <m/>
    <m/>
    <m/>
    <m/>
    <m/>
    <m/>
    <m/>
    <m/>
    <n v="0"/>
    <n v="0"/>
    <n v="0"/>
    <n v="0"/>
    <m/>
    <m/>
    <n v="0"/>
    <n v="0"/>
    <m/>
    <m/>
    <m/>
    <m/>
    <m/>
    <m/>
    <m/>
    <m/>
    <n v="0"/>
    <n v="0"/>
    <n v="0"/>
    <n v="0"/>
    <n v="7204.333333333333"/>
    <n v="8615.1333333333332"/>
  </r>
  <r>
    <x v="4"/>
    <s v="Columbus Technical College"/>
    <n v="139357"/>
    <x v="9"/>
    <s v="quar"/>
    <s v="Quarter"/>
    <n v="34241"/>
    <n v="35125"/>
    <n v="32544"/>
    <n v="34104"/>
    <n v="28247"/>
    <n v="28614"/>
    <n v="37258"/>
    <n v="42131"/>
    <n v="132290"/>
    <n v="2939.7777777777778"/>
    <n v="139974"/>
    <n v="3110.5333333333333"/>
    <n v="3100"/>
    <n v="2339"/>
    <n v="132290"/>
    <n v="139974"/>
    <m/>
    <m/>
    <m/>
    <m/>
    <m/>
    <m/>
    <m/>
    <m/>
    <n v="0"/>
    <n v="0"/>
    <n v="0"/>
    <n v="0"/>
    <m/>
    <m/>
    <n v="0"/>
    <n v="0"/>
    <m/>
    <m/>
    <m/>
    <m/>
    <m/>
    <m/>
    <m/>
    <m/>
    <n v="0"/>
    <n v="0"/>
    <n v="0"/>
    <n v="0"/>
    <n v="2939.7777777777778"/>
    <n v="3110.5333333333333"/>
  </r>
  <r>
    <x v="4"/>
    <s v="DeKalb Technical College"/>
    <n v="244446"/>
    <x v="9"/>
    <s v="quar"/>
    <s v="Quarter"/>
    <n v="37223"/>
    <n v="41937"/>
    <n v="35850"/>
    <n v="41882"/>
    <n v="30239"/>
    <n v="35943"/>
    <n v="40825"/>
    <n v="50354"/>
    <n v="144137"/>
    <n v="3203.0444444444443"/>
    <n v="170116"/>
    <n v="3780.3555555555554"/>
    <n v="3102.6"/>
    <n v="1983.1"/>
    <n v="144137"/>
    <n v="170116"/>
    <m/>
    <m/>
    <m/>
    <m/>
    <m/>
    <m/>
    <m/>
    <m/>
    <n v="0"/>
    <n v="0"/>
    <n v="0"/>
    <n v="0"/>
    <m/>
    <m/>
    <n v="0"/>
    <n v="0"/>
    <m/>
    <m/>
    <m/>
    <m/>
    <m/>
    <m/>
    <m/>
    <m/>
    <n v="0"/>
    <n v="0"/>
    <n v="0"/>
    <n v="0"/>
    <n v="3203.0444444444443"/>
    <n v="3780.3555555555554"/>
  </r>
  <r>
    <x v="4"/>
    <s v="East Central Technical College"/>
    <n v="139126"/>
    <x v="9"/>
    <s v="quar"/>
    <s v="Quarter"/>
    <n v="12578"/>
    <n v="14364"/>
    <n v="11822"/>
    <n v="14917"/>
    <n v="10447"/>
    <n v="15583"/>
    <n v="15667"/>
    <n v="20104"/>
    <n v="50514"/>
    <n v="1122.5333333333333"/>
    <n v="64968"/>
    <n v="1443.7333333333333"/>
    <n v="3560"/>
    <n v="3501"/>
    <n v="50514"/>
    <n v="64968"/>
    <m/>
    <m/>
    <m/>
    <m/>
    <m/>
    <m/>
    <m/>
    <m/>
    <n v="0"/>
    <n v="0"/>
    <n v="0"/>
    <n v="0"/>
    <m/>
    <m/>
    <n v="0"/>
    <n v="0"/>
    <m/>
    <m/>
    <m/>
    <m/>
    <m/>
    <m/>
    <m/>
    <m/>
    <n v="0"/>
    <n v="0"/>
    <n v="0"/>
    <n v="0"/>
    <n v="1122.5333333333333"/>
    <n v="1443.7333333333333"/>
  </r>
  <r>
    <x v="4"/>
    <s v="Georgia Northwestern Technical College"/>
    <n v="139384"/>
    <x v="9"/>
    <s v="quar"/>
    <s v="Quarter"/>
    <n v="49103"/>
    <n v="56622"/>
    <n v="46420"/>
    <n v="56851"/>
    <n v="36829"/>
    <n v="46043"/>
    <n v="56390"/>
    <n v="66836"/>
    <n v="188742"/>
    <n v="4194.2666666666664"/>
    <n v="226352"/>
    <n v="5030.0444444444447"/>
    <n v="4518"/>
    <n v="5358"/>
    <n v="188742"/>
    <n v="226352"/>
    <m/>
    <m/>
    <m/>
    <m/>
    <m/>
    <m/>
    <m/>
    <m/>
    <n v="0"/>
    <n v="0"/>
    <n v="0"/>
    <n v="0"/>
    <m/>
    <m/>
    <n v="0"/>
    <n v="0"/>
    <m/>
    <m/>
    <m/>
    <m/>
    <m/>
    <m/>
    <m/>
    <m/>
    <n v="0"/>
    <n v="0"/>
    <n v="0"/>
    <n v="0"/>
    <n v="4194.2666666666664"/>
    <n v="5030.0444444444447"/>
  </r>
  <r>
    <x v="4"/>
    <s v="Griffin Technical College"/>
    <n v="139986"/>
    <x v="9"/>
    <s v="quar"/>
    <s v="Quarter"/>
    <n v="40837"/>
    <n v="44781"/>
    <n v="38777"/>
    <n v="45323"/>
    <n v="32106"/>
    <n v="37882"/>
    <n v="44413"/>
    <n v="57334"/>
    <n v="156133"/>
    <n v="3469.6222222222223"/>
    <n v="185320"/>
    <n v="4118.2222222222226"/>
    <n v="3498"/>
    <n v="3403"/>
    <n v="156133"/>
    <n v="185320"/>
    <m/>
    <m/>
    <m/>
    <m/>
    <m/>
    <m/>
    <m/>
    <m/>
    <n v="0"/>
    <n v="0"/>
    <n v="0"/>
    <n v="0"/>
    <m/>
    <m/>
    <n v="0"/>
    <n v="0"/>
    <m/>
    <m/>
    <m/>
    <m/>
    <m/>
    <m/>
    <m/>
    <m/>
    <n v="0"/>
    <n v="0"/>
    <n v="0"/>
    <n v="0"/>
    <n v="3469.6222222222223"/>
    <n v="4118.2222222222226"/>
  </r>
  <r>
    <x v="4"/>
    <s v="Gwinnett Technical College"/>
    <n v="140012"/>
    <x v="9"/>
    <s v="quar"/>
    <s v="Quarter"/>
    <n v="50175"/>
    <n v="56083"/>
    <n v="49317"/>
    <n v="56898"/>
    <n v="35130"/>
    <n v="44317"/>
    <n v="59232"/>
    <n v="72514"/>
    <n v="193854"/>
    <n v="4307.8666666666668"/>
    <n v="229812"/>
    <n v="5106.9333333333334"/>
    <n v="325"/>
    <n v="263"/>
    <n v="193854"/>
    <n v="229812"/>
    <m/>
    <m/>
    <m/>
    <m/>
    <m/>
    <m/>
    <m/>
    <m/>
    <n v="0"/>
    <n v="0"/>
    <n v="0"/>
    <n v="0"/>
    <m/>
    <m/>
    <n v="0"/>
    <n v="0"/>
    <m/>
    <m/>
    <m/>
    <m/>
    <m/>
    <m/>
    <m/>
    <m/>
    <n v="0"/>
    <n v="0"/>
    <n v="0"/>
    <n v="0"/>
    <n v="4307.8666666666668"/>
    <n v="5106.9333333333334"/>
  </r>
  <r>
    <x v="4"/>
    <s v="Heart of Georgia Technical College"/>
    <n v="140076"/>
    <x v="9"/>
    <s v="quar"/>
    <s v="Quarter"/>
    <n v="12439"/>
    <n v="14790"/>
    <n v="11909"/>
    <n v="14140"/>
    <n v="10748"/>
    <n v="14096"/>
    <n v="14930"/>
    <n v="17502"/>
    <n v="50026"/>
    <n v="1111.6888888888889"/>
    <n v="60528"/>
    <n v="1345.0666666666666"/>
    <n v="6170"/>
    <n v="5291"/>
    <n v="50026"/>
    <n v="60528"/>
    <m/>
    <m/>
    <m/>
    <m/>
    <m/>
    <m/>
    <m/>
    <m/>
    <n v="0"/>
    <n v="0"/>
    <n v="0"/>
    <n v="0"/>
    <m/>
    <m/>
    <n v="0"/>
    <n v="0"/>
    <m/>
    <m/>
    <m/>
    <m/>
    <m/>
    <m/>
    <m/>
    <m/>
    <n v="0"/>
    <n v="0"/>
    <n v="0"/>
    <n v="0"/>
    <n v="1111.6888888888889"/>
    <n v="1345.0666666666666"/>
  </r>
  <r>
    <x v="4"/>
    <s v="Lanier Technical College"/>
    <n v="140243"/>
    <x v="9"/>
    <s v="quar"/>
    <s v="Quarter"/>
    <n v="31781"/>
    <n v="31987.5"/>
    <n v="28350"/>
    <n v="33633"/>
    <n v="22929"/>
    <n v="29674"/>
    <n v="30690.5"/>
    <n v="41090"/>
    <n v="113750.5"/>
    <n v="2527.7888888888888"/>
    <n v="136384.5"/>
    <n v="3030.7666666666669"/>
    <n v="2786.5"/>
    <n v="2460.5"/>
    <n v="113750.5"/>
    <n v="136384.5"/>
    <m/>
    <m/>
    <m/>
    <m/>
    <m/>
    <m/>
    <m/>
    <m/>
    <n v="0"/>
    <n v="0"/>
    <n v="0"/>
    <n v="0"/>
    <m/>
    <m/>
    <n v="0"/>
    <n v="0"/>
    <m/>
    <m/>
    <m/>
    <m/>
    <m/>
    <m/>
    <m/>
    <m/>
    <n v="0"/>
    <n v="0"/>
    <n v="0"/>
    <n v="0"/>
    <n v="2527.7888888888888"/>
    <n v="3030.7666666666669"/>
  </r>
  <r>
    <x v="4"/>
    <s v="Middle Georgia Technical College"/>
    <n v="140085"/>
    <x v="9"/>
    <s v="quar"/>
    <s v="Quarter"/>
    <n v="29826"/>
    <n v="31598"/>
    <n v="30405"/>
    <n v="31922"/>
    <n v="23566"/>
    <n v="30382"/>
    <n v="29831"/>
    <n v="43066"/>
    <n v="113628"/>
    <n v="2525.0666666666666"/>
    <n v="136968"/>
    <n v="3043.7333333333331"/>
    <n v="6183"/>
    <n v="6351"/>
    <n v="113628"/>
    <n v="136968"/>
    <m/>
    <m/>
    <m/>
    <m/>
    <m/>
    <m/>
    <m/>
    <m/>
    <n v="0"/>
    <n v="0"/>
    <n v="0"/>
    <n v="0"/>
    <m/>
    <m/>
    <n v="0"/>
    <n v="0"/>
    <m/>
    <m/>
    <m/>
    <m/>
    <m/>
    <m/>
    <m/>
    <m/>
    <n v="0"/>
    <n v="0"/>
    <n v="0"/>
    <n v="0"/>
    <n v="2525.0666666666666"/>
    <n v="3043.7333333333331"/>
  </r>
  <r>
    <x v="4"/>
    <s v="Moultrie Technical College"/>
    <n v="140599"/>
    <x v="9"/>
    <s v="quar"/>
    <s v="Quarter"/>
    <n v="20992"/>
    <n v="23253"/>
    <n v="19199"/>
    <n v="23373"/>
    <n v="17239"/>
    <n v="20975"/>
    <n v="24359"/>
    <n v="27636"/>
    <n v="81789"/>
    <n v="1817.5333333333333"/>
    <n v="95237"/>
    <n v="2116.3777777777777"/>
    <n v="9166"/>
    <n v="7181"/>
    <n v="81789"/>
    <n v="95237"/>
    <m/>
    <m/>
    <m/>
    <m/>
    <m/>
    <m/>
    <m/>
    <m/>
    <n v="0"/>
    <n v="0"/>
    <n v="0"/>
    <n v="0"/>
    <m/>
    <m/>
    <n v="0"/>
    <n v="0"/>
    <m/>
    <m/>
    <m/>
    <m/>
    <m/>
    <m/>
    <m/>
    <m/>
    <n v="0"/>
    <n v="0"/>
    <n v="0"/>
    <n v="0"/>
    <n v="1817.5333333333333"/>
    <n v="2116.3777777777777"/>
  </r>
  <r>
    <x v="4"/>
    <s v="North Georgia Technical College"/>
    <n v="140678"/>
    <x v="9"/>
    <s v="quar"/>
    <s v="Quarter"/>
    <n v="22413"/>
    <n v="26807"/>
    <n v="21175"/>
    <n v="26931"/>
    <n v="18541"/>
    <n v="24439"/>
    <n v="25318"/>
    <n v="35524"/>
    <n v="87447"/>
    <n v="1943.2666666666667"/>
    <n v="113701"/>
    <n v="2526.6888888888889"/>
    <n v="972.1"/>
    <n v="1255.9000000000001"/>
    <n v="87447"/>
    <n v="113701"/>
    <m/>
    <m/>
    <m/>
    <m/>
    <m/>
    <m/>
    <m/>
    <m/>
    <n v="0"/>
    <n v="0"/>
    <n v="0"/>
    <n v="0"/>
    <m/>
    <m/>
    <n v="0"/>
    <n v="0"/>
    <m/>
    <m/>
    <m/>
    <m/>
    <m/>
    <m/>
    <m/>
    <m/>
    <n v="0"/>
    <n v="0"/>
    <n v="0"/>
    <n v="0"/>
    <n v="1943.2666666666667"/>
    <n v="2526.6888888888889"/>
  </r>
  <r>
    <x v="4"/>
    <s v="Ogeechee Technical College"/>
    <n v="366465"/>
    <x v="9"/>
    <s v="quar"/>
    <s v="Quarter"/>
    <n v="19476"/>
    <n v="22573"/>
    <n v="17850"/>
    <n v="22053"/>
    <n v="13572"/>
    <n v="19286"/>
    <n v="20739"/>
    <n v="27202"/>
    <n v="71637"/>
    <n v="1591.9333333333334"/>
    <n v="91114"/>
    <n v="2024.7555555555555"/>
    <n v="1280"/>
    <n v="2307"/>
    <n v="71637"/>
    <n v="91114"/>
    <m/>
    <m/>
    <m/>
    <m/>
    <m/>
    <m/>
    <m/>
    <m/>
    <n v="0"/>
    <n v="0"/>
    <n v="0"/>
    <n v="0"/>
    <m/>
    <m/>
    <n v="0"/>
    <n v="0"/>
    <m/>
    <m/>
    <m/>
    <m/>
    <m/>
    <m/>
    <m/>
    <m/>
    <n v="0"/>
    <n v="0"/>
    <n v="0"/>
    <n v="0"/>
    <n v="1591.9333333333334"/>
    <n v="2024.7555555555555"/>
  </r>
  <r>
    <x v="4"/>
    <s v="Okefenokee Technical College"/>
    <n v="248776"/>
    <x v="9"/>
    <s v="quar"/>
    <s v="Quarter"/>
    <n v="13366"/>
    <n v="13790"/>
    <n v="12115"/>
    <n v="13765.5"/>
    <n v="10978"/>
    <n v="13274"/>
    <n v="14066"/>
    <n v="17358.5"/>
    <n v="50525"/>
    <n v="1122.7777777777778"/>
    <n v="58188"/>
    <n v="1293.0666666666666"/>
    <n v="3476"/>
    <n v="2615.5"/>
    <n v="50525"/>
    <n v="58188"/>
    <m/>
    <m/>
    <m/>
    <m/>
    <m/>
    <m/>
    <m/>
    <m/>
    <n v="0"/>
    <n v="0"/>
    <n v="0"/>
    <n v="0"/>
    <m/>
    <m/>
    <n v="0"/>
    <n v="0"/>
    <m/>
    <m/>
    <m/>
    <m/>
    <m/>
    <m/>
    <m/>
    <m/>
    <n v="0"/>
    <n v="0"/>
    <n v="0"/>
    <n v="0"/>
    <n v="1122.7777777777778"/>
    <n v="1293.0666666666666"/>
  </r>
  <r>
    <x v="4"/>
    <s v="Savannah Technical College"/>
    <n v="140942"/>
    <x v="9"/>
    <s v="quar"/>
    <s v="Quarter"/>
    <n v="43516"/>
    <n v="48813"/>
    <n v="41137"/>
    <n v="48202"/>
    <n v="35251"/>
    <n v="40328"/>
    <n v="49076"/>
    <n v="58996"/>
    <n v="168980"/>
    <n v="3755.1111111111113"/>
    <n v="196339"/>
    <n v="4363.0888888888885"/>
    <n v="4410"/>
    <n v="3342"/>
    <n v="168980"/>
    <n v="196339"/>
    <m/>
    <m/>
    <m/>
    <m/>
    <m/>
    <m/>
    <m/>
    <m/>
    <n v="0"/>
    <n v="0"/>
    <n v="0"/>
    <n v="0"/>
    <m/>
    <m/>
    <n v="0"/>
    <n v="0"/>
    <m/>
    <m/>
    <m/>
    <m/>
    <m/>
    <m/>
    <m/>
    <m/>
    <n v="0"/>
    <n v="0"/>
    <n v="0"/>
    <n v="0"/>
    <n v="3755.1111111111113"/>
    <n v="4363.0888888888885"/>
  </r>
  <r>
    <x v="4"/>
    <s v="South Georgia Technical College"/>
    <n v="141006"/>
    <x v="9"/>
    <s v="quar"/>
    <s v="Quarter"/>
    <n v="19548"/>
    <n v="24455"/>
    <n v="19291"/>
    <n v="23787"/>
    <n v="17501"/>
    <n v="23313"/>
    <n v="22969"/>
    <n v="30730"/>
    <n v="79309"/>
    <n v="1762.4222222222222"/>
    <n v="102285"/>
    <n v="2273"/>
    <n v="3627"/>
    <n v="3053"/>
    <n v="79309"/>
    <n v="102285"/>
    <m/>
    <m/>
    <m/>
    <m/>
    <m/>
    <m/>
    <m/>
    <m/>
    <n v="0"/>
    <n v="0"/>
    <n v="0"/>
    <n v="0"/>
    <m/>
    <m/>
    <n v="0"/>
    <n v="0"/>
    <m/>
    <m/>
    <m/>
    <m/>
    <m/>
    <m/>
    <m/>
    <m/>
    <n v="0"/>
    <n v="0"/>
    <n v="0"/>
    <n v="0"/>
    <n v="1762.4222222222222"/>
    <n v="2273"/>
  </r>
  <r>
    <x v="4"/>
    <s v="Southeastern Technical College"/>
    <n v="368911"/>
    <x v="9"/>
    <s v="quar"/>
    <s v="Quarter"/>
    <n v="15808"/>
    <n v="17279"/>
    <n v="15801"/>
    <n v="17517"/>
    <n v="13451"/>
    <n v="15513"/>
    <n v="17673"/>
    <n v="21178"/>
    <n v="62733"/>
    <n v="1394.0666666666666"/>
    <n v="71487"/>
    <n v="1588.6"/>
    <n v="3883"/>
    <n v="3807"/>
    <n v="62733"/>
    <n v="71487"/>
    <m/>
    <m/>
    <m/>
    <m/>
    <m/>
    <m/>
    <m/>
    <m/>
    <n v="0"/>
    <n v="0"/>
    <n v="0"/>
    <n v="0"/>
    <m/>
    <m/>
    <n v="0"/>
    <n v="0"/>
    <m/>
    <m/>
    <m/>
    <m/>
    <m/>
    <m/>
    <m/>
    <m/>
    <n v="0"/>
    <n v="0"/>
    <n v="0"/>
    <n v="0"/>
    <n v="1394.0666666666666"/>
    <n v="1588.6"/>
  </r>
  <r>
    <x v="4"/>
    <s v="Southwest Georgia Technical College"/>
    <n v="141158"/>
    <x v="9"/>
    <s v="quar"/>
    <s v="Quarter"/>
    <n v="12121.5"/>
    <n v="14119"/>
    <n v="10669"/>
    <n v="13408.2"/>
    <n v="10679"/>
    <n v="13089.2"/>
    <n v="14205.1"/>
    <n v="17447"/>
    <n v="47674.6"/>
    <n v="1059.4355555555555"/>
    <n v="58063.4"/>
    <n v="1290.2977777777778"/>
    <n v="4596.6000000000004"/>
    <n v="3546.7"/>
    <n v="47674.6"/>
    <n v="58063.4"/>
    <m/>
    <m/>
    <m/>
    <m/>
    <m/>
    <m/>
    <m/>
    <m/>
    <n v="0"/>
    <n v="0"/>
    <n v="0"/>
    <n v="0"/>
    <m/>
    <m/>
    <n v="0"/>
    <n v="0"/>
    <m/>
    <m/>
    <m/>
    <m/>
    <m/>
    <m/>
    <m/>
    <m/>
    <n v="0"/>
    <n v="0"/>
    <n v="0"/>
    <n v="0"/>
    <n v="1059.4355555555555"/>
    <n v="1290.2977777777778"/>
  </r>
  <r>
    <x v="4"/>
    <s v="Valdosta Technical College"/>
    <n v="141255"/>
    <x v="9"/>
    <s v="quar"/>
    <s v="Quarter"/>
    <n v="24887"/>
    <n v="27570"/>
    <n v="22317"/>
    <n v="26112"/>
    <n v="19855"/>
    <n v="27031"/>
    <n v="24989"/>
    <n v="39755"/>
    <n v="92048"/>
    <n v="2045.5111111111112"/>
    <n v="120468"/>
    <n v="2677.0666666666666"/>
    <n v="5452"/>
    <n v="4044"/>
    <n v="92048"/>
    <n v="120468"/>
    <m/>
    <m/>
    <m/>
    <m/>
    <m/>
    <m/>
    <m/>
    <m/>
    <n v="0"/>
    <n v="0"/>
    <n v="0"/>
    <n v="0"/>
    <m/>
    <m/>
    <n v="0"/>
    <n v="0"/>
    <m/>
    <m/>
    <m/>
    <m/>
    <m/>
    <m/>
    <m/>
    <m/>
    <n v="0"/>
    <n v="0"/>
    <n v="0"/>
    <n v="0"/>
    <n v="2045.5111111111112"/>
    <n v="2677.0666666666666"/>
  </r>
  <r>
    <x v="4"/>
    <s v="West Georgia Technical College"/>
    <n v="139278"/>
    <x v="9"/>
    <s v="quar"/>
    <s v="Quarter"/>
    <n v="49219"/>
    <n v="56799"/>
    <n v="46167"/>
    <n v="57881"/>
    <n v="36504"/>
    <n v="48349"/>
    <n v="56398"/>
    <n v="73402"/>
    <n v="188288"/>
    <n v="4184.1777777777779"/>
    <n v="236431"/>
    <n v="5254.0222222222219"/>
    <n v="8675"/>
    <n v="9982.7999999999993"/>
    <n v="188288"/>
    <n v="236431"/>
    <m/>
    <m/>
    <m/>
    <m/>
    <m/>
    <m/>
    <m/>
    <m/>
    <n v="0"/>
    <n v="0"/>
    <n v="0"/>
    <n v="0"/>
    <m/>
    <m/>
    <n v="0"/>
    <n v="0"/>
    <m/>
    <m/>
    <m/>
    <m/>
    <m/>
    <m/>
    <m/>
    <m/>
    <n v="0"/>
    <n v="0"/>
    <n v="0"/>
    <n v="0"/>
    <n v="4184.1777777777779"/>
    <n v="5254.0222222222219"/>
  </r>
  <r>
    <x v="4"/>
    <s v="Altamaha Technical College"/>
    <n v="366447"/>
    <x v="10"/>
    <s v="quar"/>
    <s v="Quarter"/>
    <n v="8528"/>
    <n v="8507"/>
    <n v="8177"/>
    <n v="9108"/>
    <n v="7112"/>
    <n v="12434"/>
    <n v="8984"/>
    <n v="16254"/>
    <n v="32801"/>
    <n v="728.91111111111115"/>
    <n v="46303"/>
    <n v="1028.9555555555555"/>
    <n v="2109"/>
    <n v="3586.6"/>
    <n v="32801"/>
    <n v="46303"/>
    <m/>
    <m/>
    <m/>
    <m/>
    <m/>
    <m/>
    <m/>
    <m/>
    <n v="0"/>
    <n v="0"/>
    <n v="0"/>
    <n v="0"/>
    <m/>
    <m/>
    <n v="0"/>
    <n v="0"/>
    <m/>
    <m/>
    <m/>
    <m/>
    <m/>
    <m/>
    <m/>
    <m/>
    <n v="0"/>
    <n v="0"/>
    <n v="0"/>
    <n v="0"/>
    <n v="728.91111111111115"/>
    <n v="1028.9555555555555"/>
  </r>
  <r>
    <x v="4"/>
    <s v="Flint River Technical College"/>
    <n v="248794"/>
    <x v="10"/>
    <s v="quar"/>
    <s v="Quarter"/>
    <n v="9185"/>
    <n v="10096.799999999999"/>
    <n v="9073"/>
    <n v="10843.4"/>
    <n v="8428"/>
    <n v="8830.6"/>
    <n v="10473"/>
    <n v="10751.5"/>
    <n v="37159"/>
    <n v="825.75555555555559"/>
    <n v="40522.299999999996"/>
    <n v="900.49555555555548"/>
    <n v="1156"/>
    <n v="644"/>
    <n v="37159"/>
    <n v="40522.299999999996"/>
    <m/>
    <m/>
    <m/>
    <m/>
    <m/>
    <m/>
    <m/>
    <m/>
    <n v="0"/>
    <n v="0"/>
    <n v="0"/>
    <n v="0"/>
    <m/>
    <m/>
    <n v="0"/>
    <n v="0"/>
    <m/>
    <m/>
    <m/>
    <m/>
    <m/>
    <m/>
    <m/>
    <m/>
    <n v="0"/>
    <n v="0"/>
    <n v="0"/>
    <n v="0"/>
    <n v="825.75555555555559"/>
    <n v="900.49555555555548"/>
  </r>
  <r>
    <x v="4"/>
    <s v="Sandersville Technical College"/>
    <n v="420431"/>
    <x v="10"/>
    <s v="quar"/>
    <s v="Quarter"/>
    <n v="6349"/>
    <n v="7535"/>
    <n v="5833"/>
    <n v="7575"/>
    <n v="5712"/>
    <n v="8048"/>
    <n v="7671"/>
    <n v="10342"/>
    <n v="25565"/>
    <n v="568.11111111111109"/>
    <n v="33500"/>
    <n v="744.44444444444446"/>
    <n v="3714"/>
    <n v="4223"/>
    <n v="25565"/>
    <n v="33500"/>
    <m/>
    <m/>
    <m/>
    <m/>
    <m/>
    <m/>
    <m/>
    <m/>
    <n v="0"/>
    <n v="0"/>
    <n v="0"/>
    <n v="0"/>
    <m/>
    <m/>
    <n v="0"/>
    <n v="0"/>
    <m/>
    <m/>
    <m/>
    <m/>
    <m/>
    <m/>
    <m/>
    <m/>
    <n v="0"/>
    <n v="0"/>
    <n v="0"/>
    <n v="0"/>
    <n v="568.11111111111109"/>
    <n v="744.44444444444446"/>
  </r>
  <r>
    <x v="5"/>
    <s v="University of Kentucky"/>
    <n v="157085"/>
    <x v="0"/>
    <s v="sem"/>
    <s v="sem"/>
    <m/>
    <m/>
    <n v="232649"/>
    <n v="237140"/>
    <n v="23528"/>
    <n v="23054"/>
    <n v="258465"/>
    <n v="261424"/>
    <n v="514642"/>
    <n v="17154.733333333334"/>
    <n v="521618"/>
    <n v="17387.266666666666"/>
    <n v="71"/>
    <n v="291"/>
    <n v="514642"/>
    <n v="521618"/>
    <m/>
    <m/>
    <m/>
    <m/>
    <m/>
    <m/>
    <m/>
    <m/>
    <n v="0"/>
    <n v="0"/>
    <n v="0"/>
    <n v="0"/>
    <m/>
    <m/>
    <n v="0"/>
    <n v="0"/>
    <m/>
    <m/>
    <n v="36015"/>
    <n v="36502"/>
    <n v="5964"/>
    <n v="6205"/>
    <n v="39054"/>
    <n v="39918"/>
    <n v="81033"/>
    <n v="3376.375"/>
    <n v="82625"/>
    <n v="3442.7083333333335"/>
    <n v="20531.108333333334"/>
    <n v="20829.974999999999"/>
  </r>
  <r>
    <x v="5"/>
    <s v="University of Louisville"/>
    <n v="157289"/>
    <x v="0"/>
    <s v="sem"/>
    <s v="sem"/>
    <m/>
    <m/>
    <n v="169329"/>
    <n v="170062"/>
    <n v="36471"/>
    <n v="34642"/>
    <n v="182122"/>
    <n v="184831"/>
    <n v="387922"/>
    <n v="12930.733333333334"/>
    <n v="389535"/>
    <n v="12984.5"/>
    <n v="1019"/>
    <n v="1052"/>
    <n v="387922"/>
    <n v="389535"/>
    <m/>
    <m/>
    <m/>
    <m/>
    <m/>
    <m/>
    <m/>
    <m/>
    <n v="0"/>
    <n v="0"/>
    <n v="0"/>
    <n v="0"/>
    <m/>
    <m/>
    <n v="0"/>
    <n v="0"/>
    <m/>
    <m/>
    <n v="34045"/>
    <n v="32324"/>
    <n v="12355"/>
    <n v="12270"/>
    <n v="33313"/>
    <n v="34018"/>
    <n v="79713"/>
    <n v="3321.375"/>
    <n v="78612"/>
    <n v="3275.5"/>
    <n v="16252.108333333334"/>
    <n v="16260"/>
  </r>
  <r>
    <x v="5"/>
    <s v="Eastern Kentucky University "/>
    <n v="156620"/>
    <x v="2"/>
    <s v="sem"/>
    <s v="sem"/>
    <m/>
    <m/>
    <n v="162654"/>
    <n v="166304"/>
    <n v="22404"/>
    <n v="24021"/>
    <n v="178521"/>
    <n v="184706"/>
    <n v="363579"/>
    <n v="12119.3"/>
    <n v="375031"/>
    <n v="12501.033333333333"/>
    <n v="3251"/>
    <n v="3002"/>
    <n v="363579"/>
    <n v="375031"/>
    <m/>
    <m/>
    <m/>
    <m/>
    <m/>
    <m/>
    <m/>
    <m/>
    <n v="0"/>
    <n v="0"/>
    <n v="0"/>
    <n v="0"/>
    <m/>
    <m/>
    <n v="0"/>
    <n v="0"/>
    <m/>
    <m/>
    <n v="13926"/>
    <n v="12548"/>
    <n v="8649"/>
    <n v="8925"/>
    <n v="14221"/>
    <n v="14606"/>
    <n v="36796"/>
    <n v="1533.1666666666667"/>
    <n v="36079"/>
    <n v="1503.2916666666667"/>
    <n v="13652.466666666665"/>
    <n v="14004.324999999999"/>
  </r>
  <r>
    <x v="5"/>
    <s v="Murray State University "/>
    <n v="157401"/>
    <x v="2"/>
    <s v="sem"/>
    <s v="sem"/>
    <m/>
    <m/>
    <n v="103294"/>
    <n v="101357"/>
    <n v="12382"/>
    <n v="11044"/>
    <n v="110391"/>
    <n v="107502"/>
    <n v="226067"/>
    <n v="7535.5666666666666"/>
    <n v="219903"/>
    <n v="7330.1"/>
    <n v="1048"/>
    <n v="954"/>
    <n v="226067"/>
    <n v="219903"/>
    <m/>
    <m/>
    <m/>
    <m/>
    <m/>
    <m/>
    <m/>
    <m/>
    <n v="0"/>
    <n v="0"/>
    <n v="0"/>
    <n v="0"/>
    <m/>
    <m/>
    <n v="0"/>
    <n v="0"/>
    <m/>
    <m/>
    <n v="11468"/>
    <n v="11525"/>
    <n v="6077"/>
    <n v="5247"/>
    <n v="11765"/>
    <n v="12099"/>
    <n v="29310"/>
    <n v="1221.25"/>
    <n v="28871"/>
    <n v="1202.9583333333333"/>
    <n v="8756.8166666666657"/>
    <n v="8533.0583333333343"/>
  </r>
  <r>
    <x v="5"/>
    <s v="Western Kentucky University "/>
    <n v="157951"/>
    <x v="2"/>
    <s v="sem"/>
    <s v="sem"/>
    <m/>
    <m/>
    <n v="198343"/>
    <n v="206195"/>
    <n v="22630"/>
    <n v="22379"/>
    <n v="215647"/>
    <n v="224065"/>
    <n v="436620"/>
    <n v="14554"/>
    <n v="452639"/>
    <n v="15087.966666666667"/>
    <n v="10328"/>
    <n v="10770"/>
    <n v="436620"/>
    <n v="452639"/>
    <m/>
    <m/>
    <m/>
    <m/>
    <m/>
    <m/>
    <m/>
    <m/>
    <n v="0"/>
    <n v="0"/>
    <n v="0"/>
    <n v="0"/>
    <m/>
    <m/>
    <n v="0"/>
    <n v="0"/>
    <m/>
    <m/>
    <n v="19330"/>
    <n v="18724"/>
    <n v="9179"/>
    <n v="10039"/>
    <n v="20270"/>
    <n v="19774"/>
    <n v="48779"/>
    <n v="2032.4583333333333"/>
    <n v="48537"/>
    <n v="2022.375"/>
    <n v="16586.458333333332"/>
    <n v="17110.341666666667"/>
  </r>
  <r>
    <x v="5"/>
    <s v="Morehead State University "/>
    <n v="157386"/>
    <x v="3"/>
    <s v="sem"/>
    <s v="sem"/>
    <m/>
    <m/>
    <n v="85653"/>
    <n v="83879"/>
    <n v="10560"/>
    <n v="10998"/>
    <n v="91603"/>
    <n v="91375"/>
    <n v="187816"/>
    <n v="6260.5333333333338"/>
    <n v="186252"/>
    <n v="6208.4"/>
    <n v="2604"/>
    <n v="2668"/>
    <n v="187816"/>
    <n v="186252"/>
    <m/>
    <m/>
    <m/>
    <m/>
    <m/>
    <m/>
    <m/>
    <m/>
    <n v="0"/>
    <n v="0"/>
    <n v="0"/>
    <n v="0"/>
    <m/>
    <m/>
    <n v="0"/>
    <n v="0"/>
    <m/>
    <m/>
    <n v="8697"/>
    <n v="8329"/>
    <n v="5431"/>
    <n v="5565"/>
    <n v="8520"/>
    <n v="8527"/>
    <n v="22648"/>
    <n v="943.66666666666663"/>
    <n v="22421"/>
    <n v="934.20833333333337"/>
    <n v="7204.2000000000007"/>
    <n v="7142.6083333333327"/>
  </r>
  <r>
    <x v="5"/>
    <s v="Northern Kentucky University "/>
    <n v="157447"/>
    <x v="3"/>
    <s v="sem"/>
    <s v="sem"/>
    <m/>
    <m/>
    <n v="145575"/>
    <n v="146064"/>
    <n v="20141"/>
    <n v="20691"/>
    <n v="157920"/>
    <n v="162769"/>
    <n v="323636"/>
    <n v="10787.866666666667"/>
    <n v="329524"/>
    <n v="10984.133333333333"/>
    <n v="3176"/>
    <n v="3286"/>
    <n v="323636"/>
    <n v="329524"/>
    <m/>
    <m/>
    <m/>
    <m/>
    <m/>
    <m/>
    <m/>
    <m/>
    <n v="0"/>
    <n v="0"/>
    <n v="0"/>
    <n v="0"/>
    <m/>
    <m/>
    <n v="0"/>
    <n v="0"/>
    <m/>
    <m/>
    <n v="15110"/>
    <n v="15533"/>
    <n v="6903"/>
    <n v="7041"/>
    <n v="15504"/>
    <n v="16458"/>
    <n v="37517"/>
    <n v="1563.2083333333333"/>
    <n v="39032"/>
    <n v="1626.3333333333333"/>
    <n v="12351.075000000001"/>
    <n v="12610.466666666667"/>
  </r>
  <r>
    <x v="5"/>
    <s v="Kentucky State University "/>
    <n v="157058"/>
    <x v="4"/>
    <s v="sem"/>
    <s v="sem"/>
    <m/>
    <m/>
    <n v="27681"/>
    <n v="26801"/>
    <n v="4092"/>
    <n v="3990"/>
    <n v="30555"/>
    <n v="32389"/>
    <n v="62328"/>
    <n v="2077.6"/>
    <n v="63180"/>
    <n v="2106"/>
    <n v="100"/>
    <n v="332"/>
    <n v="62328"/>
    <n v="63180"/>
    <m/>
    <m/>
    <m/>
    <m/>
    <m/>
    <m/>
    <m/>
    <m/>
    <n v="0"/>
    <n v="0"/>
    <n v="0"/>
    <n v="0"/>
    <m/>
    <m/>
    <n v="0"/>
    <n v="0"/>
    <m/>
    <m/>
    <n v="1289"/>
    <n v="1137"/>
    <n v="315"/>
    <n v="139"/>
    <n v="1062"/>
    <n v="1466"/>
    <n v="2666"/>
    <n v="111.08333333333333"/>
    <n v="2742"/>
    <n v="114.25"/>
    <n v="2188.6833333333334"/>
    <n v="2220.25"/>
  </r>
  <r>
    <x v="5"/>
    <s v="Bluegrass Community and Technical College"/>
    <n v="157173"/>
    <x v="6"/>
    <s v="sem"/>
    <s v="sem"/>
    <m/>
    <m/>
    <n v="98581"/>
    <n v="107663"/>
    <n v="19290"/>
    <n v="21671"/>
    <n v="115233"/>
    <n v="122985"/>
    <n v="233104"/>
    <n v="7770.1333333333332"/>
    <n v="252319"/>
    <n v="8410.6333333333332"/>
    <n v="5110"/>
    <n v="5254"/>
    <n v="233104"/>
    <n v="252319"/>
    <m/>
    <m/>
    <m/>
    <m/>
    <m/>
    <m/>
    <m/>
    <m/>
    <n v="0"/>
    <n v="0"/>
    <n v="0"/>
    <n v="0"/>
    <m/>
    <m/>
    <n v="0"/>
    <n v="0"/>
    <m/>
    <m/>
    <m/>
    <m/>
    <m/>
    <m/>
    <m/>
    <m/>
    <n v="0"/>
    <n v="0"/>
    <n v="0"/>
    <n v="0"/>
    <n v="7770.1333333333332"/>
    <n v="8410.6333333333332"/>
  </r>
  <r>
    <x v="5"/>
    <s v="Jefferson Community and Technical College "/>
    <n v="156921"/>
    <x v="6"/>
    <s v="sem"/>
    <s v="sem"/>
    <m/>
    <m/>
    <n v="106679"/>
    <n v="111027"/>
    <n v="17461"/>
    <n v="19575"/>
    <n v="117609"/>
    <n v="125984"/>
    <n v="241749"/>
    <n v="8058.3"/>
    <n v="256586"/>
    <n v="8552.8666666666668"/>
    <n v="12888"/>
    <n v="11988"/>
    <n v="241749"/>
    <n v="256586"/>
    <m/>
    <m/>
    <m/>
    <m/>
    <m/>
    <m/>
    <m/>
    <m/>
    <n v="0"/>
    <n v="0"/>
    <n v="0"/>
    <n v="0"/>
    <m/>
    <m/>
    <n v="0"/>
    <n v="0"/>
    <m/>
    <m/>
    <m/>
    <m/>
    <m/>
    <m/>
    <m/>
    <m/>
    <n v="0"/>
    <n v="0"/>
    <n v="0"/>
    <n v="0"/>
    <n v="8058.3"/>
    <n v="8552.8666666666668"/>
  </r>
  <r>
    <x v="5"/>
    <s v="Ashland Community and Technical College"/>
    <n v="156231"/>
    <x v="7"/>
    <s v="sem"/>
    <s v="sem"/>
    <m/>
    <m/>
    <n v="26981"/>
    <n v="29324"/>
    <n v="4008"/>
    <n v="4849"/>
    <n v="36098"/>
    <n v="40984"/>
    <n v="67087"/>
    <n v="2236.2333333333331"/>
    <n v="75157"/>
    <n v="2505.2333333333331"/>
    <n v="7641"/>
    <n v="7383"/>
    <n v="67087"/>
    <n v="75157"/>
    <m/>
    <m/>
    <m/>
    <m/>
    <m/>
    <m/>
    <m/>
    <m/>
    <n v="0"/>
    <n v="0"/>
    <n v="0"/>
    <n v="0"/>
    <m/>
    <m/>
    <n v="0"/>
    <n v="0"/>
    <m/>
    <m/>
    <m/>
    <m/>
    <m/>
    <m/>
    <m/>
    <m/>
    <n v="0"/>
    <n v="0"/>
    <n v="0"/>
    <n v="0"/>
    <n v="2236.2333333333331"/>
    <n v="2505.2333333333331"/>
  </r>
  <r>
    <x v="5"/>
    <s v="Big Sandy Community and Technical College "/>
    <n v="157553"/>
    <x v="7"/>
    <s v="sem"/>
    <s v="sem"/>
    <m/>
    <m/>
    <n v="33501"/>
    <n v="33702"/>
    <n v="5409"/>
    <n v="6446"/>
    <n v="35901"/>
    <n v="42316"/>
    <n v="74811"/>
    <n v="2493.6999999999998"/>
    <n v="82464"/>
    <n v="2748.8"/>
    <n v="2277"/>
    <n v="2816"/>
    <n v="74811"/>
    <n v="82464"/>
    <m/>
    <m/>
    <m/>
    <m/>
    <m/>
    <m/>
    <m/>
    <m/>
    <n v="0"/>
    <n v="0"/>
    <n v="0"/>
    <n v="0"/>
    <m/>
    <m/>
    <n v="0"/>
    <n v="0"/>
    <m/>
    <m/>
    <m/>
    <m/>
    <m/>
    <m/>
    <m/>
    <m/>
    <n v="0"/>
    <n v="0"/>
    <n v="0"/>
    <n v="0"/>
    <n v="2493.6999999999998"/>
    <n v="2748.8"/>
  </r>
  <r>
    <x v="5"/>
    <s v="Elizabethtown Community and Technical College "/>
    <n v="156648"/>
    <x v="7"/>
    <s v="sem"/>
    <s v="sem"/>
    <m/>
    <m/>
    <n v="40917"/>
    <n v="45868"/>
    <n v="6680"/>
    <n v="8011"/>
    <n v="46417"/>
    <n v="57585"/>
    <n v="94014"/>
    <n v="3133.8"/>
    <n v="111464"/>
    <n v="3715.4666666666667"/>
    <n v="1449"/>
    <n v="2072"/>
    <n v="94014"/>
    <n v="111464"/>
    <m/>
    <m/>
    <m/>
    <m/>
    <m/>
    <m/>
    <m/>
    <m/>
    <n v="0"/>
    <n v="0"/>
    <n v="0"/>
    <n v="0"/>
    <m/>
    <m/>
    <n v="0"/>
    <n v="0"/>
    <m/>
    <m/>
    <m/>
    <m/>
    <m/>
    <m/>
    <m/>
    <m/>
    <n v="0"/>
    <n v="0"/>
    <n v="0"/>
    <n v="0"/>
    <n v="3133.8"/>
    <n v="3715.4666666666667"/>
  </r>
  <r>
    <x v="5"/>
    <s v="Madisonville Community College"/>
    <n v="157304"/>
    <x v="7"/>
    <s v="sem"/>
    <s v="sem"/>
    <m/>
    <m/>
    <n v="29463"/>
    <n v="27370"/>
    <n v="3902"/>
    <n v="4093"/>
    <n v="30484"/>
    <n v="32711"/>
    <n v="63849"/>
    <n v="2128.3000000000002"/>
    <n v="64174"/>
    <n v="2139.1333333333332"/>
    <n v="5489"/>
    <n v="5676"/>
    <n v="63849"/>
    <n v="64174"/>
    <m/>
    <m/>
    <m/>
    <m/>
    <m/>
    <m/>
    <m/>
    <m/>
    <n v="0"/>
    <n v="0"/>
    <n v="0"/>
    <n v="0"/>
    <m/>
    <m/>
    <n v="0"/>
    <n v="0"/>
    <m/>
    <m/>
    <m/>
    <m/>
    <m/>
    <m/>
    <m/>
    <m/>
    <n v="0"/>
    <n v="0"/>
    <n v="0"/>
    <n v="0"/>
    <n v="2128.3000000000002"/>
    <n v="2139.1333333333332"/>
  </r>
  <r>
    <x v="5"/>
    <s v="Maysville Community and Technical College "/>
    <n v="157331"/>
    <x v="7"/>
    <s v="sem"/>
    <s v="sem"/>
    <m/>
    <m/>
    <n v="32975"/>
    <n v="36280"/>
    <n v="6941"/>
    <n v="7344"/>
    <n v="34502"/>
    <n v="43850"/>
    <n v="74418"/>
    <n v="2480.6"/>
    <n v="87474"/>
    <n v="2915.8"/>
    <n v="7188"/>
    <n v="5730"/>
    <n v="74418"/>
    <n v="87474"/>
    <m/>
    <m/>
    <m/>
    <m/>
    <m/>
    <m/>
    <m/>
    <m/>
    <n v="0"/>
    <n v="0"/>
    <n v="0"/>
    <n v="0"/>
    <m/>
    <m/>
    <n v="0"/>
    <n v="0"/>
    <m/>
    <m/>
    <m/>
    <m/>
    <m/>
    <m/>
    <m/>
    <m/>
    <n v="0"/>
    <n v="0"/>
    <n v="0"/>
    <n v="0"/>
    <n v="2480.6"/>
    <n v="2915.8"/>
  </r>
  <r>
    <x v="5"/>
    <s v="Owensboro Community and Technical College "/>
    <n v="247940"/>
    <x v="7"/>
    <s v="sem"/>
    <s v="sem"/>
    <m/>
    <m/>
    <n v="34567"/>
    <n v="35922"/>
    <n v="3898"/>
    <n v="5467"/>
    <n v="41187"/>
    <n v="48142"/>
    <n v="79652"/>
    <n v="2655.0666666666666"/>
    <n v="89531"/>
    <n v="2984.3666666666668"/>
    <n v="15207"/>
    <n v="15687"/>
    <n v="79652"/>
    <n v="89531"/>
    <m/>
    <m/>
    <m/>
    <m/>
    <m/>
    <m/>
    <m/>
    <m/>
    <n v="0"/>
    <n v="0"/>
    <n v="0"/>
    <n v="0"/>
    <m/>
    <m/>
    <n v="0"/>
    <n v="0"/>
    <m/>
    <m/>
    <m/>
    <m/>
    <m/>
    <m/>
    <m/>
    <m/>
    <n v="0"/>
    <n v="0"/>
    <n v="0"/>
    <n v="0"/>
    <n v="2655.0666666666666"/>
    <n v="2984.3666666666668"/>
  </r>
  <r>
    <x v="5"/>
    <s v="Somerset Community and Technical College "/>
    <n v="157711"/>
    <x v="7"/>
    <s v="sem"/>
    <s v="sem"/>
    <m/>
    <m/>
    <n v="51932"/>
    <n v="53001"/>
    <n v="6205"/>
    <n v="8603"/>
    <n v="51934"/>
    <n v="69331"/>
    <n v="110071"/>
    <n v="3669.0333333333333"/>
    <n v="130935"/>
    <n v="4364.5"/>
    <n v="6638"/>
    <n v="7063"/>
    <n v="110071"/>
    <n v="130935"/>
    <m/>
    <m/>
    <m/>
    <m/>
    <m/>
    <m/>
    <m/>
    <m/>
    <n v="0"/>
    <n v="0"/>
    <n v="0"/>
    <n v="0"/>
    <m/>
    <m/>
    <n v="0"/>
    <n v="0"/>
    <m/>
    <m/>
    <m/>
    <m/>
    <m/>
    <m/>
    <m/>
    <m/>
    <n v="0"/>
    <n v="0"/>
    <n v="0"/>
    <n v="0"/>
    <n v="3669.0333333333333"/>
    <n v="4364.5"/>
  </r>
  <r>
    <x v="5"/>
    <s v="Southeast Kentucky Community and Technical College"/>
    <n v="157739"/>
    <x v="7"/>
    <s v="sem"/>
    <s v="sem"/>
    <m/>
    <m/>
    <n v="28171"/>
    <n v="27686"/>
    <n v="3205"/>
    <n v="3310"/>
    <n v="30423"/>
    <n v="35412"/>
    <n v="61799"/>
    <n v="2059.9666666666667"/>
    <n v="66408"/>
    <n v="2213.6"/>
    <n v="6135"/>
    <n v="5978"/>
    <n v="61799"/>
    <n v="66408"/>
    <m/>
    <m/>
    <m/>
    <m/>
    <m/>
    <m/>
    <m/>
    <m/>
    <n v="0"/>
    <n v="0"/>
    <n v="0"/>
    <n v="0"/>
    <m/>
    <m/>
    <n v="0"/>
    <n v="0"/>
    <m/>
    <m/>
    <m/>
    <m/>
    <m/>
    <m/>
    <m/>
    <m/>
    <n v="0"/>
    <n v="0"/>
    <n v="0"/>
    <n v="0"/>
    <n v="2059.9666666666667"/>
    <n v="2213.6"/>
  </r>
  <r>
    <x v="5"/>
    <s v="West Kentucky Community and Technical College"/>
    <n v="157483"/>
    <x v="7"/>
    <s v="sem"/>
    <s v="sem"/>
    <m/>
    <m/>
    <n v="40638"/>
    <n v="43498"/>
    <n v="7557"/>
    <n v="9913"/>
    <n v="47785"/>
    <n v="54390"/>
    <n v="95980"/>
    <n v="3199.3333333333335"/>
    <n v="107801"/>
    <n v="3593.3666666666668"/>
    <n v="7360"/>
    <n v="8706"/>
    <n v="95980"/>
    <n v="107801"/>
    <m/>
    <m/>
    <m/>
    <m/>
    <m/>
    <m/>
    <m/>
    <m/>
    <n v="0"/>
    <n v="0"/>
    <n v="0"/>
    <n v="0"/>
    <m/>
    <m/>
    <n v="0"/>
    <n v="0"/>
    <m/>
    <m/>
    <m/>
    <m/>
    <m/>
    <m/>
    <m/>
    <m/>
    <n v="0"/>
    <n v="0"/>
    <n v="0"/>
    <n v="0"/>
    <n v="3199.3333333333335"/>
    <n v="3593.3666666666668"/>
  </r>
  <r>
    <x v="5"/>
    <s v="Hazard Community and Technical College"/>
    <n v="156790"/>
    <x v="8"/>
    <s v="sem"/>
    <s v="sem"/>
    <m/>
    <m/>
    <n v="24961"/>
    <n v="22982"/>
    <n v="3177"/>
    <n v="3680"/>
    <n v="27640"/>
    <n v="31764"/>
    <n v="55778"/>
    <n v="1859.2666666666667"/>
    <n v="58426"/>
    <n v="1947.5333333333333"/>
    <n v="4154"/>
    <n v="4396"/>
    <n v="55778"/>
    <n v="58426"/>
    <m/>
    <m/>
    <m/>
    <m/>
    <m/>
    <m/>
    <m/>
    <m/>
    <n v="0"/>
    <n v="0"/>
    <n v="0"/>
    <n v="0"/>
    <m/>
    <m/>
    <n v="0"/>
    <n v="0"/>
    <m/>
    <m/>
    <m/>
    <m/>
    <m/>
    <m/>
    <m/>
    <m/>
    <n v="0"/>
    <n v="0"/>
    <n v="0"/>
    <n v="0"/>
    <n v="1859.2666666666667"/>
    <n v="1947.5333333333333"/>
  </r>
  <r>
    <x v="5"/>
    <s v="Henderson Community College "/>
    <n v="156851"/>
    <x v="8"/>
    <s v="sem"/>
    <s v="sem"/>
    <m/>
    <m/>
    <n v="16602"/>
    <n v="16495"/>
    <n v="3018"/>
    <n v="3950"/>
    <n v="17223"/>
    <n v="19805"/>
    <n v="36843"/>
    <n v="1228.0999999999999"/>
    <n v="40250"/>
    <n v="1341.6666666666667"/>
    <n v="1529"/>
    <n v="1690"/>
    <n v="36843"/>
    <n v="40250"/>
    <m/>
    <m/>
    <m/>
    <m/>
    <m/>
    <m/>
    <m/>
    <m/>
    <n v="0"/>
    <n v="0"/>
    <n v="0"/>
    <n v="0"/>
    <m/>
    <m/>
    <n v="0"/>
    <n v="0"/>
    <m/>
    <m/>
    <m/>
    <m/>
    <m/>
    <m/>
    <m/>
    <m/>
    <n v="0"/>
    <n v="0"/>
    <n v="0"/>
    <n v="0"/>
    <n v="1228.0999999999999"/>
    <n v="1341.6666666666667"/>
  </r>
  <r>
    <x v="5"/>
    <s v="Hopkinsville Community College "/>
    <n v="156860"/>
    <x v="8"/>
    <s v="sem"/>
    <s v="sem"/>
    <m/>
    <m/>
    <n v="24304"/>
    <n v="29244"/>
    <n v="3165"/>
    <n v="6484"/>
    <n v="28710"/>
    <n v="33286"/>
    <n v="56179"/>
    <n v="1872.6333333333334"/>
    <n v="69014"/>
    <n v="2300.4666666666667"/>
    <n v="1229"/>
    <n v="1548"/>
    <n v="56179"/>
    <n v="69014"/>
    <m/>
    <m/>
    <m/>
    <m/>
    <m/>
    <m/>
    <m/>
    <m/>
    <n v="0"/>
    <n v="0"/>
    <n v="0"/>
    <n v="0"/>
    <m/>
    <m/>
    <n v="0"/>
    <n v="0"/>
    <m/>
    <m/>
    <m/>
    <m/>
    <m/>
    <m/>
    <m/>
    <m/>
    <n v="0"/>
    <n v="0"/>
    <n v="0"/>
    <n v="0"/>
    <n v="1872.6333333333334"/>
    <n v="2300.4666666666667"/>
  </r>
  <r>
    <x v="5"/>
    <s v="Bowling Green Technical College"/>
    <n v="156338"/>
    <x v="9"/>
    <s v="sem"/>
    <s v="sem"/>
    <m/>
    <m/>
    <n v="16687"/>
    <n v="19719"/>
    <n v="2289"/>
    <n v="2861"/>
    <n v="20073"/>
    <n v="28715"/>
    <n v="39049"/>
    <n v="1301.6333333333334"/>
    <n v="51295"/>
    <n v="1709.8333333333333"/>
    <n v="5245"/>
    <n v="5175"/>
    <n v="39049"/>
    <n v="51295"/>
    <m/>
    <m/>
    <m/>
    <m/>
    <m/>
    <m/>
    <m/>
    <m/>
    <n v="0"/>
    <n v="0"/>
    <n v="0"/>
    <n v="0"/>
    <m/>
    <m/>
    <n v="0"/>
    <n v="0"/>
    <m/>
    <m/>
    <m/>
    <m/>
    <m/>
    <m/>
    <m/>
    <m/>
    <n v="0"/>
    <n v="0"/>
    <n v="0"/>
    <n v="0"/>
    <n v="1301.6333333333334"/>
    <n v="1709.8333333333333"/>
  </r>
  <r>
    <x v="5"/>
    <s v="Gateway Community and Technical College"/>
    <n v="157438"/>
    <x v="9"/>
    <s v="sem"/>
    <s v="sem"/>
    <m/>
    <m/>
    <n v="21339"/>
    <n v="24427"/>
    <n v="2888"/>
    <n v="4310"/>
    <n v="24590"/>
    <n v="30463"/>
    <n v="48817"/>
    <n v="1627.2333333333333"/>
    <n v="59200"/>
    <n v="1973.3333333333333"/>
    <n v="2934"/>
    <n v="3026"/>
    <n v="48817"/>
    <n v="59200"/>
    <m/>
    <m/>
    <m/>
    <m/>
    <m/>
    <m/>
    <m/>
    <m/>
    <n v="0"/>
    <n v="0"/>
    <n v="0"/>
    <n v="0"/>
    <m/>
    <m/>
    <n v="0"/>
    <n v="0"/>
    <m/>
    <m/>
    <m/>
    <m/>
    <m/>
    <m/>
    <m/>
    <m/>
    <n v="0"/>
    <n v="0"/>
    <n v="0"/>
    <n v="0"/>
    <n v="1627.2333333333333"/>
    <n v="1973.3333333333333"/>
  </r>
  <r>
    <x v="6"/>
    <s v="Louisiana State University and A&amp;M College"/>
    <n v="159391"/>
    <x v="0"/>
    <s v="sem"/>
    <s v="sem"/>
    <m/>
    <m/>
    <n v="314833"/>
    <n v="316145"/>
    <n v="45045"/>
    <n v="44383"/>
    <n v="357128"/>
    <n v="352512"/>
    <n v="717006"/>
    <n v="23900.2"/>
    <n v="713040"/>
    <n v="23768"/>
    <n v="204"/>
    <n v="192"/>
    <n v="717006"/>
    <n v="713040"/>
    <m/>
    <m/>
    <m/>
    <m/>
    <m/>
    <m/>
    <m/>
    <m/>
    <n v="0"/>
    <n v="0"/>
    <n v="0"/>
    <n v="0"/>
    <m/>
    <m/>
    <n v="0"/>
    <n v="0"/>
    <m/>
    <m/>
    <n v="44611"/>
    <n v="46912"/>
    <n v="13121"/>
    <n v="14009"/>
    <n v="48855.5"/>
    <n v="51084"/>
    <n v="106587.5"/>
    <n v="4441.145833333333"/>
    <n v="112005"/>
    <n v="4666.875"/>
    <n v="28341.345833333333"/>
    <n v="28434.875"/>
  </r>
  <r>
    <x v="6"/>
    <s v="Louisiana Tech University "/>
    <n v="159647"/>
    <x v="1"/>
    <s v="quar"/>
    <s v="quar"/>
    <n v="70228"/>
    <n v="69543"/>
    <n v="66602"/>
    <n v="65989"/>
    <n v="18064"/>
    <n v="17101"/>
    <n v="76759"/>
    <n v="76157"/>
    <n v="231653"/>
    <n v="5147.8444444444449"/>
    <n v="228790"/>
    <n v="7626.333333333333"/>
    <n v="3420"/>
    <n v="5353"/>
    <n v="231653"/>
    <n v="228790"/>
    <m/>
    <m/>
    <m/>
    <m/>
    <m/>
    <m/>
    <m/>
    <m/>
    <n v="0"/>
    <n v="0"/>
    <n v="0"/>
    <n v="0"/>
    <m/>
    <m/>
    <n v="0"/>
    <n v="0"/>
    <n v="6955"/>
    <n v="7380"/>
    <n v="6765"/>
    <n v="7090"/>
    <n v="4143"/>
    <n v="4143"/>
    <n v="10865"/>
    <n v="11764"/>
    <n v="28728"/>
    <n v="798"/>
    <n v="30377"/>
    <n v="1265.7083333333333"/>
    <n v="5945.8444444444449"/>
    <n v="8892.0416666666661"/>
  </r>
  <r>
    <x v="6"/>
    <s v="University of Louisiana at Lafayette"/>
    <n v="160658"/>
    <x v="1"/>
    <s v="sem"/>
    <s v="sem"/>
    <m/>
    <m/>
    <n v="179733"/>
    <n v="178285"/>
    <n v="24241"/>
    <n v="24078"/>
    <n v="195625"/>
    <n v="196155"/>
    <n v="399599"/>
    <n v="13319.966666666667"/>
    <n v="398518"/>
    <n v="13283.933333333332"/>
    <n v="883"/>
    <n v="601"/>
    <n v="399599"/>
    <n v="398518"/>
    <m/>
    <m/>
    <m/>
    <m/>
    <m/>
    <m/>
    <m/>
    <m/>
    <n v="0"/>
    <n v="0"/>
    <n v="0"/>
    <n v="0"/>
    <m/>
    <m/>
    <n v="0"/>
    <n v="0"/>
    <m/>
    <m/>
    <n v="12770"/>
    <n v="11441"/>
    <n v="2620"/>
    <n v="2427"/>
    <n v="12145"/>
    <n v="12111"/>
    <n v="27535"/>
    <n v="1147.2916666666667"/>
    <n v="25979"/>
    <n v="1082.4583333333333"/>
    <n v="14467.258333333333"/>
    <n v="14366.391666666666"/>
  </r>
  <r>
    <x v="6"/>
    <s v="University of New Orleans"/>
    <n v="159939"/>
    <x v="1"/>
    <s v="sem"/>
    <s v="sem"/>
    <m/>
    <m/>
    <n v="99531"/>
    <n v="98044"/>
    <n v="19874"/>
    <n v="19111"/>
    <n v="107344"/>
    <n v="109326"/>
    <n v="226749"/>
    <n v="7558.3"/>
    <n v="226481"/>
    <n v="7549.3666666666668"/>
    <n v="227"/>
    <n v="584"/>
    <n v="226749"/>
    <n v="226481"/>
    <m/>
    <m/>
    <m/>
    <m/>
    <m/>
    <m/>
    <m/>
    <m/>
    <n v="0"/>
    <n v="0"/>
    <n v="0"/>
    <n v="0"/>
    <m/>
    <m/>
    <n v="0"/>
    <n v="0"/>
    <m/>
    <m/>
    <n v="17209"/>
    <n v="17576"/>
    <n v="7586"/>
    <n v="7874"/>
    <n v="19864"/>
    <n v="21036"/>
    <n v="44659"/>
    <n v="1860.7916666666667"/>
    <n v="46486"/>
    <n v="1936.9166666666667"/>
    <n v="9419.0916666666672"/>
    <n v="9486.2833333333328"/>
  </r>
  <r>
    <x v="6"/>
    <s v="Southeastern Louisiana University "/>
    <n v="160612"/>
    <x v="2"/>
    <s v="sem"/>
    <s v="sem"/>
    <m/>
    <m/>
    <n v="159604"/>
    <n v="159772"/>
    <n v="21388"/>
    <n v="25004"/>
    <n v="180124"/>
    <n v="182311"/>
    <n v="361116"/>
    <n v="12037.2"/>
    <n v="367087"/>
    <n v="12236.233333333334"/>
    <n v="4724"/>
    <n v="3778"/>
    <n v="361116"/>
    <n v="367087"/>
    <m/>
    <m/>
    <m/>
    <m/>
    <m/>
    <m/>
    <m/>
    <m/>
    <n v="0"/>
    <n v="0"/>
    <n v="0"/>
    <n v="0"/>
    <m/>
    <m/>
    <n v="0"/>
    <n v="0"/>
    <m/>
    <m/>
    <n v="8982"/>
    <n v="8741"/>
    <n v="4117"/>
    <n v="5210"/>
    <n v="8709"/>
    <n v="8990"/>
    <n v="21808"/>
    <n v="908.66666666666663"/>
    <n v="22941"/>
    <n v="955.875"/>
    <n v="12945.866666666667"/>
    <n v="13192.108333333334"/>
  </r>
  <r>
    <x v="6"/>
    <s v="Southern University and A&amp;M College at Baton Rouge "/>
    <n v="160621"/>
    <x v="2"/>
    <s v="sem"/>
    <s v="sem"/>
    <m/>
    <m/>
    <n v="98889"/>
    <n v="93756"/>
    <n v="17868"/>
    <n v="18641"/>
    <n v="99920"/>
    <n v="99197"/>
    <n v="216677"/>
    <n v="7222.5666666666666"/>
    <n v="211594"/>
    <n v="7053.1333333333332"/>
    <n v="232"/>
    <n v="18"/>
    <n v="216677"/>
    <n v="211594"/>
    <m/>
    <m/>
    <m/>
    <m/>
    <m/>
    <m/>
    <m/>
    <m/>
    <n v="0"/>
    <n v="0"/>
    <n v="0"/>
    <n v="0"/>
    <m/>
    <m/>
    <n v="0"/>
    <n v="0"/>
    <m/>
    <m/>
    <n v="7871"/>
    <n v="8285"/>
    <n v="1828"/>
    <n v="1911"/>
    <n v="8660"/>
    <n v="9534"/>
    <n v="18359"/>
    <n v="764.95833333333337"/>
    <n v="19730"/>
    <n v="822.08333333333337"/>
    <n v="7987.5249999999996"/>
    <n v="7875.2166666666662"/>
  </r>
  <r>
    <x v="6"/>
    <s v="University of Louisiana at Monroe"/>
    <n v="159993"/>
    <x v="2"/>
    <s v="sem"/>
    <s v="sem"/>
    <m/>
    <m/>
    <n v="83928"/>
    <n v="86823"/>
    <n v="16214"/>
    <n v="21017"/>
    <n v="95098"/>
    <n v="97378"/>
    <n v="195240"/>
    <n v="6508"/>
    <n v="205218"/>
    <n v="6840.6"/>
    <n v="4831"/>
    <n v="6151"/>
    <n v="195240"/>
    <n v="205218"/>
    <m/>
    <m/>
    <m/>
    <m/>
    <m/>
    <m/>
    <m/>
    <m/>
    <n v="0"/>
    <n v="0"/>
    <n v="0"/>
    <n v="0"/>
    <m/>
    <m/>
    <n v="0"/>
    <n v="0"/>
    <m/>
    <m/>
    <n v="11509"/>
    <n v="11599"/>
    <n v="6100"/>
    <n v="5190"/>
    <n v="11931"/>
    <n v="11435"/>
    <n v="29540"/>
    <n v="1230.8333333333333"/>
    <n v="28224"/>
    <n v="1176"/>
    <n v="7738.833333333333"/>
    <n v="8016.6"/>
  </r>
  <r>
    <x v="6"/>
    <s v="Grambling State University"/>
    <n v="159009"/>
    <x v="3"/>
    <s v="sem"/>
    <s v="sem"/>
    <m/>
    <m/>
    <n v="64243"/>
    <n v="64163"/>
    <n v="10196"/>
    <n v="13218"/>
    <n v="68185"/>
    <n v="62566"/>
    <n v="142624"/>
    <n v="4754.1333333333332"/>
    <n v="139947"/>
    <n v="4664.8999999999996"/>
    <n v="87"/>
    <n v="110"/>
    <n v="142624"/>
    <n v="139947"/>
    <m/>
    <m/>
    <m/>
    <m/>
    <m/>
    <m/>
    <m/>
    <m/>
    <n v="0"/>
    <n v="0"/>
    <n v="0"/>
    <n v="0"/>
    <m/>
    <m/>
    <n v="0"/>
    <n v="0"/>
    <m/>
    <m/>
    <n v="3339"/>
    <n v="3829"/>
    <n v="1496"/>
    <n v="1669"/>
    <n v="3726"/>
    <n v="3863"/>
    <n v="8561"/>
    <n v="356.70833333333331"/>
    <n v="9361"/>
    <n v="390.04166666666669"/>
    <n v="5110.8416666666662"/>
    <n v="5054.9416666666666"/>
  </r>
  <r>
    <x v="6"/>
    <s v="Louisiana State University in Shreveport"/>
    <n v="159416"/>
    <x v="3"/>
    <s v="sem"/>
    <s v="sem"/>
    <m/>
    <m/>
    <n v="37785"/>
    <n v="39525"/>
    <n v="8384"/>
    <n v="9090"/>
    <n v="41914"/>
    <n v="43833"/>
    <n v="88083"/>
    <n v="2936.1"/>
    <n v="92448"/>
    <n v="3081.6"/>
    <n v="2337"/>
    <n v="5137"/>
    <n v="88083"/>
    <n v="92448"/>
    <m/>
    <m/>
    <m/>
    <m/>
    <m/>
    <m/>
    <m/>
    <m/>
    <n v="0"/>
    <n v="0"/>
    <n v="0"/>
    <n v="0"/>
    <m/>
    <m/>
    <n v="0"/>
    <n v="0"/>
    <m/>
    <m/>
    <n v="2251"/>
    <n v="2435"/>
    <n v="1281"/>
    <n v="1082"/>
    <n v="2385"/>
    <n v="2887"/>
    <n v="5917"/>
    <n v="246.54166666666666"/>
    <n v="6404"/>
    <n v="266.83333333333331"/>
    <n v="3182.6416666666664"/>
    <n v="3348.4333333333334"/>
  </r>
  <r>
    <x v="6"/>
    <s v="McNeese State University"/>
    <n v="159717"/>
    <x v="3"/>
    <s v="sem"/>
    <s v="sem"/>
    <m/>
    <m/>
    <n v="92412"/>
    <n v="92005"/>
    <n v="11373"/>
    <n v="12498"/>
    <n v="100054"/>
    <n v="103167"/>
    <n v="203839"/>
    <n v="6794.6333333333332"/>
    <n v="207670"/>
    <n v="6922.333333333333"/>
    <n v="2362"/>
    <n v="3243"/>
    <n v="203839"/>
    <n v="207670"/>
    <m/>
    <m/>
    <m/>
    <m/>
    <m/>
    <m/>
    <m/>
    <m/>
    <n v="0"/>
    <n v="0"/>
    <n v="0"/>
    <n v="0"/>
    <m/>
    <m/>
    <n v="0"/>
    <n v="0"/>
    <m/>
    <m/>
    <n v="6176"/>
    <n v="6001"/>
    <n v="2399"/>
    <n v="2577"/>
    <n v="6112"/>
    <n v="6702"/>
    <n v="14687"/>
    <n v="611.95833333333337"/>
    <n v="15280"/>
    <n v="636.66666666666663"/>
    <n v="7406.5916666666662"/>
    <n v="7559"/>
  </r>
  <r>
    <x v="6"/>
    <s v="Nicholls State University "/>
    <n v="159966"/>
    <x v="3"/>
    <s v="sem"/>
    <s v="sem"/>
    <m/>
    <m/>
    <n v="76760"/>
    <n v="78974"/>
    <n v="12286"/>
    <n v="15515"/>
    <n v="84910"/>
    <n v="87139"/>
    <n v="173956"/>
    <n v="5798.5333333333338"/>
    <n v="181628"/>
    <n v="6054.2666666666664"/>
    <n v="1531"/>
    <n v="2176"/>
    <n v="173956"/>
    <n v="181628"/>
    <m/>
    <m/>
    <m/>
    <m/>
    <m/>
    <m/>
    <m/>
    <m/>
    <n v="0"/>
    <n v="0"/>
    <n v="0"/>
    <n v="0"/>
    <m/>
    <m/>
    <n v="0"/>
    <n v="0"/>
    <m/>
    <m/>
    <n v="3101"/>
    <n v="3319"/>
    <n v="3230"/>
    <n v="2702"/>
    <n v="3302"/>
    <n v="3733"/>
    <n v="9633"/>
    <n v="401.375"/>
    <n v="9754"/>
    <n v="406.41666666666669"/>
    <n v="6199.9083333333338"/>
    <n v="6460.6833333333334"/>
  </r>
  <r>
    <x v="6"/>
    <s v="Northwestern State University"/>
    <n v="160038"/>
    <x v="3"/>
    <s v="sem"/>
    <s v="sem"/>
    <m/>
    <m/>
    <n v="95584"/>
    <n v="92138"/>
    <n v="21194"/>
    <n v="22227"/>
    <n v="101155"/>
    <n v="101195"/>
    <n v="217933"/>
    <n v="7264.4333333333334"/>
    <n v="215560"/>
    <n v="7185.333333333333"/>
    <n v="3496"/>
    <n v="4770"/>
    <n v="217933"/>
    <n v="215560"/>
    <m/>
    <m/>
    <m/>
    <m/>
    <m/>
    <m/>
    <m/>
    <m/>
    <n v="0"/>
    <n v="0"/>
    <n v="0"/>
    <n v="0"/>
    <m/>
    <m/>
    <n v="0"/>
    <n v="0"/>
    <m/>
    <m/>
    <n v="6287"/>
    <n v="5992"/>
    <n v="4511"/>
    <n v="4444"/>
    <n v="6344"/>
    <n v="6682"/>
    <n v="17142"/>
    <n v="714.25"/>
    <n v="17118"/>
    <n v="713.25"/>
    <n v="7978.6833333333334"/>
    <n v="7898.583333333333"/>
  </r>
  <r>
    <x v="6"/>
    <s v="Southern University at New Orleans"/>
    <n v="160630"/>
    <x v="3"/>
    <s v="sem"/>
    <s v="sem"/>
    <m/>
    <m/>
    <n v="28548"/>
    <n v="28112"/>
    <n v="1761"/>
    <n v="3991"/>
    <n v="29982"/>
    <n v="32760"/>
    <n v="60291"/>
    <n v="2009.7"/>
    <n v="64863"/>
    <n v="2162.1"/>
    <n v="1156"/>
    <n v="629"/>
    <n v="60291"/>
    <n v="64863"/>
    <m/>
    <m/>
    <m/>
    <m/>
    <m/>
    <m/>
    <m/>
    <m/>
    <n v="0"/>
    <n v="0"/>
    <n v="0"/>
    <n v="0"/>
    <m/>
    <m/>
    <n v="0"/>
    <n v="0"/>
    <m/>
    <m/>
    <n v="4044"/>
    <n v="4115"/>
    <n v="472"/>
    <n v="1099"/>
    <n v="5083"/>
    <n v="4271"/>
    <n v="9599"/>
    <n v="399.95833333333331"/>
    <n v="9485"/>
    <n v="395.20833333333331"/>
    <n v="2409.6583333333333"/>
    <n v="2557.3083333333334"/>
  </r>
  <r>
    <x v="6"/>
    <s v="Louisiana State University at Alexandria"/>
    <n v="159382"/>
    <x v="11"/>
    <s v="sem"/>
    <s v="sem"/>
    <m/>
    <m/>
    <n v="25547"/>
    <n v="25763"/>
    <n v="4330"/>
    <n v="4428"/>
    <n v="28249"/>
    <n v="26533"/>
    <n v="58126"/>
    <n v="1937.5333333333333"/>
    <n v="56724"/>
    <n v="1890.8"/>
    <n v="4198"/>
    <n v="3309"/>
    <n v="58126"/>
    <n v="56724"/>
    <m/>
    <m/>
    <m/>
    <m/>
    <m/>
    <m/>
    <m/>
    <m/>
    <n v="0"/>
    <n v="0"/>
    <n v="0"/>
    <n v="0"/>
    <m/>
    <m/>
    <n v="0"/>
    <n v="0"/>
    <m/>
    <m/>
    <m/>
    <m/>
    <m/>
    <m/>
    <m/>
    <m/>
    <n v="0"/>
    <n v="0"/>
    <n v="0"/>
    <n v="0"/>
    <n v="1937.5333333333333"/>
    <n v="1890.8"/>
  </r>
  <r>
    <x v="6"/>
    <s v="Delgado Community College "/>
    <n v="158662"/>
    <x v="6"/>
    <s v="sem"/>
    <s v="sem"/>
    <m/>
    <m/>
    <n v="124409"/>
    <n v="139048"/>
    <n v="30119"/>
    <n v="34861"/>
    <n v="136216"/>
    <n v="161822"/>
    <n v="290744"/>
    <n v="9691.4666666666672"/>
    <n v="335731"/>
    <n v="11191.033333333333"/>
    <n v="1386"/>
    <n v="1353"/>
    <n v="290744"/>
    <n v="335731"/>
    <m/>
    <m/>
    <m/>
    <m/>
    <m/>
    <m/>
    <m/>
    <m/>
    <n v="0"/>
    <n v="0"/>
    <n v="0"/>
    <n v="0"/>
    <m/>
    <m/>
    <n v="0"/>
    <n v="0"/>
    <m/>
    <m/>
    <m/>
    <m/>
    <m/>
    <m/>
    <m/>
    <m/>
    <n v="0"/>
    <n v="0"/>
    <n v="0"/>
    <n v="0"/>
    <n v="9691.4666666666672"/>
    <n v="11191.033333333333"/>
  </r>
  <r>
    <x v="6"/>
    <s v="Baton Rouge Community College"/>
    <n v="437103"/>
    <x v="7"/>
    <s v="sem"/>
    <s v="sem"/>
    <m/>
    <m/>
    <n v="64649"/>
    <n v="67448"/>
    <n v="14029"/>
    <n v="11802"/>
    <n v="73895"/>
    <n v="80298"/>
    <n v="152573"/>
    <n v="5085.7666666666664"/>
    <n v="159548"/>
    <n v="5318.2666666666664"/>
    <n v="2422"/>
    <n v="2430"/>
    <n v="152573"/>
    <n v="159548"/>
    <m/>
    <m/>
    <m/>
    <m/>
    <m/>
    <m/>
    <m/>
    <m/>
    <n v="0"/>
    <n v="0"/>
    <n v="0"/>
    <n v="0"/>
    <m/>
    <m/>
    <n v="0"/>
    <n v="0"/>
    <m/>
    <m/>
    <m/>
    <m/>
    <m/>
    <m/>
    <m/>
    <m/>
    <n v="0"/>
    <n v="0"/>
    <n v="0"/>
    <n v="0"/>
    <n v="5085.7666666666664"/>
    <n v="5318.2666666666664"/>
  </r>
  <r>
    <x v="6"/>
    <s v="Bossier Parish Community College"/>
    <n v="158431"/>
    <x v="7"/>
    <s v="sem"/>
    <s v="sem"/>
    <m/>
    <m/>
    <n v="47034"/>
    <n v="47887"/>
    <n v="9739"/>
    <n v="11131"/>
    <n v="48050"/>
    <n v="56000"/>
    <n v="104823"/>
    <n v="3494.1"/>
    <n v="115018"/>
    <n v="3833.9333333333334"/>
    <n v="3051"/>
    <n v="3463"/>
    <n v="104823"/>
    <n v="115018"/>
    <m/>
    <m/>
    <m/>
    <m/>
    <m/>
    <m/>
    <m/>
    <m/>
    <n v="0"/>
    <n v="0"/>
    <n v="0"/>
    <n v="0"/>
    <m/>
    <m/>
    <n v="0"/>
    <n v="0"/>
    <m/>
    <m/>
    <m/>
    <m/>
    <m/>
    <m/>
    <m/>
    <m/>
    <n v="0"/>
    <n v="0"/>
    <n v="0"/>
    <n v="0"/>
    <n v="3494.1"/>
    <n v="3833.9333333333334"/>
  </r>
  <r>
    <x v="6"/>
    <s v="Louisiana State University at Eunice"/>
    <n v="159407"/>
    <x v="7"/>
    <s v="sem"/>
    <s v="sem"/>
    <m/>
    <m/>
    <n v="26706"/>
    <n v="28323"/>
    <n v="4433"/>
    <n v="4453"/>
    <n v="29855"/>
    <n v="31995"/>
    <n v="60994"/>
    <n v="2033.1333333333334"/>
    <n v="64771"/>
    <n v="2159.0333333333333"/>
    <n v="2274"/>
    <n v="3376"/>
    <n v="60994"/>
    <n v="64771"/>
    <m/>
    <m/>
    <m/>
    <m/>
    <m/>
    <m/>
    <m/>
    <m/>
    <n v="0"/>
    <n v="0"/>
    <n v="0"/>
    <n v="0"/>
    <m/>
    <m/>
    <n v="0"/>
    <n v="0"/>
    <m/>
    <m/>
    <m/>
    <m/>
    <m/>
    <m/>
    <m/>
    <m/>
    <n v="0"/>
    <n v="0"/>
    <n v="0"/>
    <n v="0"/>
    <n v="2033.1333333333334"/>
    <n v="2159.0333333333333"/>
  </r>
  <r>
    <x v="6"/>
    <s v="Louisiana Delta Community College"/>
    <n v="440624"/>
    <x v="8"/>
    <s v="sem"/>
    <s v="sem"/>
    <m/>
    <m/>
    <n v="11696"/>
    <n v="14745"/>
    <n v="2995"/>
    <n v="2861"/>
    <n v="15431"/>
    <n v="16800"/>
    <n v="30122"/>
    <n v="1004.0666666666667"/>
    <n v="34406"/>
    <n v="1146.8666666666666"/>
    <n v="2707"/>
    <n v="1757"/>
    <n v="30122"/>
    <n v="34406"/>
    <m/>
    <m/>
    <m/>
    <m/>
    <m/>
    <m/>
    <m/>
    <m/>
    <n v="0"/>
    <n v="0"/>
    <n v="0"/>
    <n v="0"/>
    <m/>
    <m/>
    <n v="0"/>
    <n v="0"/>
    <m/>
    <m/>
    <m/>
    <m/>
    <m/>
    <m/>
    <m/>
    <m/>
    <n v="0"/>
    <n v="0"/>
    <n v="0"/>
    <n v="0"/>
    <n v="1004.0666666666667"/>
    <n v="1146.8666666666666"/>
  </r>
  <r>
    <x v="6"/>
    <s v="Nunez Community College"/>
    <n v="158884"/>
    <x v="8"/>
    <s v="sem"/>
    <s v="sem"/>
    <m/>
    <m/>
    <n v="11991"/>
    <n v="14253"/>
    <n v="3204"/>
    <n v="3315.6"/>
    <n v="14004"/>
    <n v="15550"/>
    <n v="29199"/>
    <n v="973.3"/>
    <n v="33118.6"/>
    <n v="1103.9533333333334"/>
    <n v="3143"/>
    <n v="4153"/>
    <n v="29199"/>
    <n v="33118.6"/>
    <m/>
    <m/>
    <m/>
    <m/>
    <m/>
    <m/>
    <m/>
    <m/>
    <n v="0"/>
    <n v="0"/>
    <n v="0"/>
    <n v="0"/>
    <m/>
    <m/>
    <n v="0"/>
    <n v="0"/>
    <m/>
    <m/>
    <m/>
    <m/>
    <m/>
    <m/>
    <m/>
    <m/>
    <n v="0"/>
    <n v="0"/>
    <n v="0"/>
    <n v="0"/>
    <n v="973.3"/>
    <n v="1103.9533333333334"/>
  </r>
  <r>
    <x v="6"/>
    <s v="River Parishes Community College"/>
    <n v="436304"/>
    <x v="8"/>
    <s v="sem"/>
    <s v="sem"/>
    <m/>
    <m/>
    <n v="8835"/>
    <n v="10656"/>
    <n v="1698"/>
    <n v="2850"/>
    <n v="11227"/>
    <n v="14463"/>
    <n v="21760"/>
    <n v="725.33333333333337"/>
    <n v="27969"/>
    <n v="932.3"/>
    <n v="1303"/>
    <n v="1505"/>
    <n v="21760"/>
    <n v="27969"/>
    <m/>
    <m/>
    <m/>
    <m/>
    <m/>
    <m/>
    <m/>
    <m/>
    <n v="0"/>
    <n v="0"/>
    <n v="0"/>
    <n v="0"/>
    <m/>
    <m/>
    <n v="0"/>
    <n v="0"/>
    <m/>
    <m/>
    <m/>
    <m/>
    <m/>
    <m/>
    <m/>
    <m/>
    <n v="0"/>
    <n v="0"/>
    <n v="0"/>
    <n v="0"/>
    <n v="725.33333333333337"/>
    <n v="932.3"/>
  </r>
  <r>
    <x v="6"/>
    <s v="South Louisiana Community College"/>
    <n v="434061"/>
    <x v="8"/>
    <s v="sem"/>
    <s v="sem"/>
    <m/>
    <m/>
    <n v="26543"/>
    <n v="28762"/>
    <n v="6601"/>
    <n v="7485"/>
    <n v="29724"/>
    <n v="34649"/>
    <n v="62868"/>
    <n v="2095.6"/>
    <n v="70896"/>
    <n v="2363.1999999999998"/>
    <n v="4222"/>
    <n v="4761"/>
    <n v="62868"/>
    <n v="70896"/>
    <m/>
    <m/>
    <m/>
    <m/>
    <m/>
    <m/>
    <m/>
    <m/>
    <n v="0"/>
    <n v="0"/>
    <n v="0"/>
    <n v="0"/>
    <m/>
    <m/>
    <n v="0"/>
    <n v="0"/>
    <m/>
    <m/>
    <m/>
    <m/>
    <m/>
    <m/>
    <m/>
    <m/>
    <n v="0"/>
    <n v="0"/>
    <n v="0"/>
    <n v="0"/>
    <n v="2095.6"/>
    <n v="2363.1999999999998"/>
  </r>
  <r>
    <x v="6"/>
    <s v="Southern University in Shreveport"/>
    <n v="160649"/>
    <x v="8"/>
    <s v="sem"/>
    <s v="sem"/>
    <m/>
    <m/>
    <n v="23871"/>
    <n v="26266"/>
    <n v="7417"/>
    <n v="7490"/>
    <n v="25175"/>
    <n v="32663"/>
    <n v="56463"/>
    <n v="1882.1"/>
    <n v="66419"/>
    <n v="2213.9666666666667"/>
    <n v="2625"/>
    <n v="2321"/>
    <n v="56463"/>
    <n v="66419"/>
    <m/>
    <m/>
    <m/>
    <m/>
    <m/>
    <m/>
    <m/>
    <m/>
    <n v="0"/>
    <n v="0"/>
    <n v="0"/>
    <n v="0"/>
    <m/>
    <m/>
    <n v="0"/>
    <n v="0"/>
    <m/>
    <m/>
    <m/>
    <m/>
    <m/>
    <m/>
    <m/>
    <m/>
    <n v="0"/>
    <n v="0"/>
    <n v="0"/>
    <n v="0"/>
    <n v="1882.1"/>
    <n v="2213.9666666666667"/>
  </r>
  <r>
    <x v="6"/>
    <s v="Sowela Technical Community College"/>
    <n v="160579"/>
    <x v="9"/>
    <s v="sem"/>
    <s v="sem"/>
    <m/>
    <m/>
    <n v="17967"/>
    <n v="21728"/>
    <n v="5384"/>
    <n v="5782"/>
    <n v="20402"/>
    <n v="25268"/>
    <n v="43753"/>
    <n v="1458.4333333333334"/>
    <n v="52778"/>
    <n v="1759.2666666666667"/>
    <n v="931"/>
    <n v="861"/>
    <n v="43753"/>
    <n v="52778"/>
    <m/>
    <m/>
    <m/>
    <m/>
    <m/>
    <m/>
    <m/>
    <m/>
    <n v="0"/>
    <n v="0"/>
    <n v="0"/>
    <n v="0"/>
    <m/>
    <m/>
    <n v="0"/>
    <n v="0"/>
    <m/>
    <m/>
    <m/>
    <m/>
    <m/>
    <m/>
    <m/>
    <m/>
    <n v="0"/>
    <n v="0"/>
    <n v="0"/>
    <n v="0"/>
    <n v="1458.4333333333334"/>
    <n v="1759.2666666666667"/>
  </r>
  <r>
    <x v="6"/>
    <s v="L.E. Fletcher Technical Community College"/>
    <n v="160481"/>
    <x v="10"/>
    <s v="sem"/>
    <s v="sem"/>
    <m/>
    <m/>
    <n v="10852"/>
    <n v="12352"/>
    <n v="2984.5"/>
    <n v="2953"/>
    <n v="13800"/>
    <n v="17031"/>
    <n v="27636.5"/>
    <n v="921.2166666666667"/>
    <n v="32336"/>
    <n v="1077.8666666666666"/>
    <n v="977"/>
    <n v="923"/>
    <n v="27636.5"/>
    <n v="32336"/>
    <m/>
    <m/>
    <n v="5836"/>
    <n v="15887"/>
    <n v="4371"/>
    <n v="3701"/>
    <n v="11481"/>
    <n v="15878"/>
    <n v="21688"/>
    <n v="24.097777777777779"/>
    <n v="35466"/>
    <n v="39.406666666666666"/>
    <m/>
    <m/>
    <n v="0"/>
    <n v="0"/>
    <m/>
    <m/>
    <m/>
    <m/>
    <m/>
    <m/>
    <m/>
    <m/>
    <n v="0"/>
    <n v="0"/>
    <n v="0"/>
    <n v="0"/>
    <n v="945.31444444444446"/>
    <n v="1117.2733333333333"/>
  </r>
  <r>
    <x v="6"/>
    <s v="Louisiana Technical College-Acadian Campus"/>
    <n v="160560"/>
    <x v="13"/>
    <s v="sem"/>
    <s v="sem"/>
    <m/>
    <m/>
    <m/>
    <m/>
    <m/>
    <m/>
    <m/>
    <m/>
    <n v="0"/>
    <n v="0"/>
    <n v="0"/>
    <n v="0"/>
    <m/>
    <m/>
    <n v="0"/>
    <n v="0"/>
    <m/>
    <m/>
    <m/>
    <m/>
    <m/>
    <m/>
    <m/>
    <m/>
    <n v="0"/>
    <n v="0"/>
    <n v="0"/>
    <n v="0"/>
    <m/>
    <m/>
    <n v="0"/>
    <n v="0"/>
    <m/>
    <m/>
    <m/>
    <m/>
    <m/>
    <m/>
    <m/>
    <m/>
    <n v="0"/>
    <n v="0"/>
    <n v="0"/>
    <n v="0"/>
    <n v="0"/>
    <n v="0"/>
  </r>
  <r>
    <x v="6"/>
    <s v="Louisiana Technical College-Alexandria Campus"/>
    <n v="158088"/>
    <x v="13"/>
    <s v="sem"/>
    <s v="sem"/>
    <m/>
    <m/>
    <m/>
    <m/>
    <m/>
    <m/>
    <m/>
    <m/>
    <n v="0"/>
    <n v="0"/>
    <n v="0"/>
    <n v="0"/>
    <m/>
    <m/>
    <n v="0"/>
    <n v="0"/>
    <m/>
    <m/>
    <m/>
    <m/>
    <m/>
    <m/>
    <m/>
    <m/>
    <n v="0"/>
    <n v="0"/>
    <n v="0"/>
    <n v="0"/>
    <m/>
    <m/>
    <n v="0"/>
    <n v="0"/>
    <m/>
    <m/>
    <m/>
    <m/>
    <m/>
    <m/>
    <m/>
    <m/>
    <n v="0"/>
    <n v="0"/>
    <n v="0"/>
    <n v="0"/>
    <n v="0"/>
    <n v="0"/>
  </r>
  <r>
    <x v="6"/>
    <s v="Louisiana Technical College-all campuses"/>
    <m/>
    <x v="13"/>
    <s v="sem"/>
    <s v="sem"/>
    <m/>
    <m/>
    <n v="172619"/>
    <n v="193010"/>
    <n v="61249"/>
    <n v="68929.5"/>
    <n v="188692.5"/>
    <n v="236729"/>
    <n v="422560.5"/>
    <n v="14085.35"/>
    <n v="498668.5"/>
    <n v="16622.283333333333"/>
    <n v="48788"/>
    <n v="76133"/>
    <n v="422560.5"/>
    <n v="498668.5"/>
    <m/>
    <m/>
    <n v="36936.5"/>
    <n v="36936.5"/>
    <n v="20692"/>
    <n v="24993"/>
    <n v="30920"/>
    <n v="35430"/>
    <n v="88548.5"/>
    <n v="98.387222222222221"/>
    <n v="97359.5"/>
    <n v="108.17722222222223"/>
    <m/>
    <m/>
    <n v="0"/>
    <n v="0"/>
    <m/>
    <m/>
    <m/>
    <m/>
    <m/>
    <m/>
    <m/>
    <m/>
    <n v="0"/>
    <n v="0"/>
    <n v="0"/>
    <n v="0"/>
    <n v="14183.737222222222"/>
    <n v="16730.460555555554"/>
  </r>
  <r>
    <x v="6"/>
    <s v="Louisiana Technical College-Ascension Campus"/>
    <n v="158219"/>
    <x v="13"/>
    <s v="sem"/>
    <s v="sem"/>
    <m/>
    <m/>
    <m/>
    <m/>
    <m/>
    <m/>
    <m/>
    <m/>
    <n v="0"/>
    <n v="0"/>
    <n v="0"/>
    <n v="0"/>
    <m/>
    <m/>
    <n v="0"/>
    <n v="0"/>
    <m/>
    <m/>
    <m/>
    <m/>
    <m/>
    <m/>
    <m/>
    <m/>
    <n v="0"/>
    <n v="0"/>
    <n v="0"/>
    <n v="0"/>
    <m/>
    <m/>
    <n v="0"/>
    <n v="0"/>
    <m/>
    <m/>
    <m/>
    <m/>
    <m/>
    <m/>
    <m/>
    <m/>
    <n v="0"/>
    <n v="0"/>
    <n v="0"/>
    <n v="0"/>
    <n v="0"/>
    <n v="0"/>
  </r>
  <r>
    <x v="6"/>
    <s v="Louisiana Technical College-Avoyelles Campus"/>
    <n v="158237"/>
    <x v="13"/>
    <s v="sem"/>
    <s v="sem"/>
    <m/>
    <m/>
    <m/>
    <m/>
    <m/>
    <m/>
    <m/>
    <m/>
    <n v="0"/>
    <n v="0"/>
    <n v="0"/>
    <n v="0"/>
    <m/>
    <m/>
    <n v="0"/>
    <n v="0"/>
    <m/>
    <m/>
    <m/>
    <m/>
    <m/>
    <m/>
    <m/>
    <m/>
    <n v="0"/>
    <n v="0"/>
    <n v="0"/>
    <n v="0"/>
    <m/>
    <m/>
    <n v="0"/>
    <n v="0"/>
    <m/>
    <m/>
    <m/>
    <m/>
    <m/>
    <m/>
    <m/>
    <m/>
    <n v="0"/>
    <n v="0"/>
    <n v="0"/>
    <n v="0"/>
    <n v="0"/>
    <n v="0"/>
  </r>
  <r>
    <x v="6"/>
    <s v="Louisiana Technical College-Bastrop Campus"/>
    <n v="158307"/>
    <x v="13"/>
    <s v="sem"/>
    <s v="sem"/>
    <m/>
    <m/>
    <m/>
    <m/>
    <m/>
    <m/>
    <m/>
    <m/>
    <n v="0"/>
    <n v="0"/>
    <n v="0"/>
    <n v="0"/>
    <m/>
    <m/>
    <n v="0"/>
    <n v="0"/>
    <m/>
    <m/>
    <m/>
    <m/>
    <m/>
    <m/>
    <m/>
    <m/>
    <n v="0"/>
    <n v="0"/>
    <n v="0"/>
    <n v="0"/>
    <m/>
    <m/>
    <n v="0"/>
    <n v="0"/>
    <m/>
    <m/>
    <m/>
    <m/>
    <m/>
    <m/>
    <m/>
    <m/>
    <n v="0"/>
    <n v="0"/>
    <n v="0"/>
    <n v="0"/>
    <n v="0"/>
    <n v="0"/>
  </r>
  <r>
    <x v="6"/>
    <s v="Louisiana Technical College-Baton Rouge Campus"/>
    <n v="158352"/>
    <x v="13"/>
    <s v="sem"/>
    <s v="sem"/>
    <m/>
    <m/>
    <m/>
    <m/>
    <m/>
    <m/>
    <m/>
    <m/>
    <n v="0"/>
    <n v="0"/>
    <n v="0"/>
    <n v="0"/>
    <m/>
    <m/>
    <n v="0"/>
    <n v="0"/>
    <m/>
    <m/>
    <m/>
    <m/>
    <m/>
    <m/>
    <m/>
    <m/>
    <n v="0"/>
    <n v="0"/>
    <n v="0"/>
    <n v="0"/>
    <m/>
    <m/>
    <n v="0"/>
    <n v="0"/>
    <m/>
    <m/>
    <m/>
    <m/>
    <m/>
    <m/>
    <m/>
    <m/>
    <n v="0"/>
    <n v="0"/>
    <n v="0"/>
    <n v="0"/>
    <n v="0"/>
    <n v="0"/>
  </r>
  <r>
    <x v="6"/>
    <s v="Louisiana Technical College-Charles B. Coreil Campus"/>
    <n v="160816"/>
    <x v="13"/>
    <s v="sem"/>
    <s v="sem"/>
    <m/>
    <m/>
    <m/>
    <m/>
    <m/>
    <m/>
    <m/>
    <m/>
    <n v="0"/>
    <n v="0"/>
    <n v="0"/>
    <n v="0"/>
    <m/>
    <m/>
    <n v="0"/>
    <n v="0"/>
    <m/>
    <m/>
    <m/>
    <m/>
    <m/>
    <m/>
    <m/>
    <m/>
    <n v="0"/>
    <n v="0"/>
    <n v="0"/>
    <n v="0"/>
    <m/>
    <m/>
    <n v="0"/>
    <n v="0"/>
    <m/>
    <m/>
    <m/>
    <m/>
    <m/>
    <m/>
    <m/>
    <m/>
    <n v="0"/>
    <n v="0"/>
    <n v="0"/>
    <n v="0"/>
    <n v="0"/>
    <n v="0"/>
  </r>
  <r>
    <x v="6"/>
    <s v="Louisiana Technical College-Delta/Ouachita Campus"/>
    <n v="158769"/>
    <x v="13"/>
    <s v="sem"/>
    <s v="sem"/>
    <m/>
    <m/>
    <m/>
    <m/>
    <m/>
    <m/>
    <m/>
    <m/>
    <n v="0"/>
    <n v="0"/>
    <n v="0"/>
    <n v="0"/>
    <m/>
    <m/>
    <n v="0"/>
    <n v="0"/>
    <m/>
    <m/>
    <m/>
    <m/>
    <m/>
    <m/>
    <m/>
    <m/>
    <n v="0"/>
    <n v="0"/>
    <n v="0"/>
    <n v="0"/>
    <m/>
    <m/>
    <n v="0"/>
    <n v="0"/>
    <m/>
    <m/>
    <m/>
    <m/>
    <m/>
    <m/>
    <m/>
    <m/>
    <n v="0"/>
    <n v="0"/>
    <n v="0"/>
    <n v="0"/>
    <n v="0"/>
    <n v="0"/>
  </r>
  <r>
    <x v="6"/>
    <s v="Louisiana Technical College-Evangeline Campus"/>
    <n v="158893"/>
    <x v="13"/>
    <s v="sem"/>
    <s v="sem"/>
    <m/>
    <m/>
    <m/>
    <m/>
    <m/>
    <m/>
    <m/>
    <m/>
    <n v="0"/>
    <n v="0"/>
    <n v="0"/>
    <n v="0"/>
    <m/>
    <m/>
    <n v="0"/>
    <n v="0"/>
    <m/>
    <m/>
    <m/>
    <m/>
    <m/>
    <m/>
    <m/>
    <m/>
    <n v="0"/>
    <n v="0"/>
    <n v="0"/>
    <n v="0"/>
    <m/>
    <m/>
    <n v="0"/>
    <n v="0"/>
    <m/>
    <m/>
    <m/>
    <m/>
    <m/>
    <m/>
    <m/>
    <m/>
    <n v="0"/>
    <n v="0"/>
    <n v="0"/>
    <n v="0"/>
    <n v="0"/>
    <n v="0"/>
  </r>
  <r>
    <x v="6"/>
    <s v="Louisiana Technical College-Florida Parishes Campus"/>
    <n v="158936"/>
    <x v="13"/>
    <s v="sem"/>
    <s v="sem"/>
    <m/>
    <m/>
    <m/>
    <m/>
    <m/>
    <m/>
    <m/>
    <m/>
    <n v="0"/>
    <n v="0"/>
    <n v="0"/>
    <n v="0"/>
    <m/>
    <m/>
    <n v="0"/>
    <n v="0"/>
    <m/>
    <m/>
    <m/>
    <m/>
    <m/>
    <m/>
    <m/>
    <m/>
    <n v="0"/>
    <n v="0"/>
    <n v="0"/>
    <n v="0"/>
    <m/>
    <m/>
    <n v="0"/>
    <n v="0"/>
    <m/>
    <m/>
    <m/>
    <m/>
    <m/>
    <m/>
    <m/>
    <m/>
    <n v="0"/>
    <n v="0"/>
    <n v="0"/>
    <n v="0"/>
    <n v="0"/>
    <n v="0"/>
  </r>
  <r>
    <x v="6"/>
    <s v="Louisiana Technical College-Folkes Campus"/>
    <n v="158945"/>
    <x v="13"/>
    <s v="sem"/>
    <s v="sem"/>
    <m/>
    <m/>
    <m/>
    <m/>
    <m/>
    <m/>
    <m/>
    <m/>
    <n v="0"/>
    <n v="0"/>
    <n v="0"/>
    <n v="0"/>
    <m/>
    <m/>
    <n v="0"/>
    <n v="0"/>
    <m/>
    <m/>
    <m/>
    <m/>
    <m/>
    <m/>
    <m/>
    <m/>
    <n v="0"/>
    <n v="0"/>
    <n v="0"/>
    <n v="0"/>
    <m/>
    <m/>
    <n v="0"/>
    <n v="0"/>
    <m/>
    <m/>
    <m/>
    <m/>
    <m/>
    <m/>
    <m/>
    <m/>
    <n v="0"/>
    <n v="0"/>
    <n v="0"/>
    <n v="0"/>
    <n v="0"/>
    <n v="0"/>
  </r>
  <r>
    <x v="6"/>
    <s v="Louisiana Technical College-Gulf Area Campus"/>
    <n v="159018"/>
    <x v="13"/>
    <s v="sem"/>
    <s v="sem"/>
    <m/>
    <m/>
    <m/>
    <m/>
    <m/>
    <m/>
    <m/>
    <m/>
    <n v="0"/>
    <n v="0"/>
    <n v="0"/>
    <n v="0"/>
    <m/>
    <m/>
    <n v="0"/>
    <n v="0"/>
    <m/>
    <m/>
    <m/>
    <m/>
    <m/>
    <m/>
    <m/>
    <m/>
    <n v="0"/>
    <n v="0"/>
    <n v="0"/>
    <n v="0"/>
    <m/>
    <m/>
    <n v="0"/>
    <n v="0"/>
    <m/>
    <m/>
    <m/>
    <m/>
    <m/>
    <m/>
    <m/>
    <m/>
    <n v="0"/>
    <n v="0"/>
    <n v="0"/>
    <n v="0"/>
    <n v="0"/>
    <n v="0"/>
  </r>
  <r>
    <x v="6"/>
    <s v="Louisiana Technical College-Hammond Area Campus"/>
    <n v="159045"/>
    <x v="13"/>
    <s v="sem"/>
    <s v="sem"/>
    <m/>
    <m/>
    <m/>
    <m/>
    <m/>
    <m/>
    <m/>
    <m/>
    <n v="0"/>
    <n v="0"/>
    <n v="0"/>
    <n v="0"/>
    <m/>
    <m/>
    <n v="0"/>
    <n v="0"/>
    <m/>
    <m/>
    <m/>
    <m/>
    <m/>
    <m/>
    <m/>
    <m/>
    <n v="0"/>
    <n v="0"/>
    <n v="0"/>
    <n v="0"/>
    <m/>
    <m/>
    <n v="0"/>
    <n v="0"/>
    <m/>
    <m/>
    <m/>
    <m/>
    <m/>
    <m/>
    <m/>
    <m/>
    <n v="0"/>
    <n v="0"/>
    <n v="0"/>
    <n v="0"/>
    <n v="0"/>
    <n v="0"/>
  </r>
  <r>
    <x v="6"/>
    <s v="Louisiana Technical College-Huey P. Long Campus"/>
    <n v="159090"/>
    <x v="13"/>
    <s v="sem"/>
    <s v="sem"/>
    <m/>
    <m/>
    <m/>
    <m/>
    <m/>
    <m/>
    <m/>
    <m/>
    <n v="0"/>
    <n v="0"/>
    <n v="0"/>
    <n v="0"/>
    <m/>
    <m/>
    <n v="0"/>
    <n v="0"/>
    <m/>
    <m/>
    <m/>
    <m/>
    <m/>
    <m/>
    <m/>
    <m/>
    <n v="0"/>
    <n v="0"/>
    <n v="0"/>
    <n v="0"/>
    <m/>
    <m/>
    <n v="0"/>
    <n v="0"/>
    <m/>
    <m/>
    <m/>
    <m/>
    <m/>
    <m/>
    <m/>
    <m/>
    <n v="0"/>
    <n v="0"/>
    <n v="0"/>
    <n v="0"/>
    <n v="0"/>
    <n v="0"/>
  </r>
  <r>
    <x v="6"/>
    <s v="Louisiana Technical College-Jefferson Campus"/>
    <n v="159258"/>
    <x v="13"/>
    <s v="sem"/>
    <s v="sem"/>
    <m/>
    <m/>
    <m/>
    <m/>
    <m/>
    <m/>
    <m/>
    <m/>
    <n v="0"/>
    <n v="0"/>
    <n v="0"/>
    <n v="0"/>
    <m/>
    <m/>
    <n v="0"/>
    <n v="0"/>
    <m/>
    <m/>
    <m/>
    <m/>
    <m/>
    <m/>
    <m/>
    <m/>
    <n v="0"/>
    <n v="0"/>
    <n v="0"/>
    <n v="0"/>
    <m/>
    <m/>
    <n v="0"/>
    <n v="0"/>
    <m/>
    <m/>
    <m/>
    <m/>
    <m/>
    <m/>
    <m/>
    <m/>
    <n v="0"/>
    <n v="0"/>
    <n v="0"/>
    <n v="0"/>
    <n v="0"/>
    <n v="0"/>
  </r>
  <r>
    <x v="6"/>
    <s v="Louisiana Technical College-Jumonville Memorial Campus"/>
    <n v="160214"/>
    <x v="13"/>
    <s v="sem"/>
    <s v="sem"/>
    <m/>
    <m/>
    <m/>
    <m/>
    <m/>
    <m/>
    <m/>
    <m/>
    <n v="0"/>
    <n v="0"/>
    <n v="0"/>
    <n v="0"/>
    <m/>
    <m/>
    <n v="0"/>
    <n v="0"/>
    <m/>
    <m/>
    <m/>
    <m/>
    <m/>
    <m/>
    <m/>
    <m/>
    <n v="0"/>
    <n v="0"/>
    <n v="0"/>
    <n v="0"/>
    <m/>
    <m/>
    <n v="0"/>
    <n v="0"/>
    <m/>
    <m/>
    <m/>
    <m/>
    <m/>
    <m/>
    <m/>
    <m/>
    <n v="0"/>
    <n v="0"/>
    <n v="0"/>
    <n v="0"/>
    <n v="0"/>
    <n v="0"/>
  </r>
  <r>
    <x v="6"/>
    <s v="Louisiana Technical College-Lafayette Campus"/>
    <n v="159443"/>
    <x v="13"/>
    <s v="sem"/>
    <s v="sem"/>
    <m/>
    <m/>
    <m/>
    <m/>
    <m/>
    <m/>
    <m/>
    <m/>
    <n v="0"/>
    <n v="0"/>
    <n v="0"/>
    <n v="0"/>
    <m/>
    <m/>
    <n v="0"/>
    <n v="0"/>
    <m/>
    <m/>
    <m/>
    <m/>
    <m/>
    <m/>
    <m/>
    <m/>
    <n v="0"/>
    <n v="0"/>
    <n v="0"/>
    <n v="0"/>
    <m/>
    <m/>
    <n v="0"/>
    <n v="0"/>
    <m/>
    <m/>
    <m/>
    <m/>
    <m/>
    <m/>
    <m/>
    <m/>
    <n v="0"/>
    <n v="0"/>
    <n v="0"/>
    <n v="0"/>
    <n v="0"/>
    <n v="0"/>
  </r>
  <r>
    <x v="6"/>
    <s v="Louisiana Technical College-Lafourche Campus"/>
    <n v="160719"/>
    <x v="13"/>
    <s v="sem"/>
    <s v="sem"/>
    <m/>
    <m/>
    <m/>
    <m/>
    <m/>
    <m/>
    <m/>
    <m/>
    <n v="0"/>
    <n v="0"/>
    <n v="0"/>
    <n v="0"/>
    <m/>
    <m/>
    <n v="0"/>
    <n v="0"/>
    <m/>
    <m/>
    <m/>
    <m/>
    <m/>
    <m/>
    <m/>
    <m/>
    <n v="0"/>
    <n v="0"/>
    <n v="0"/>
    <n v="0"/>
    <m/>
    <m/>
    <n v="0"/>
    <n v="0"/>
    <m/>
    <m/>
    <m/>
    <m/>
    <m/>
    <m/>
    <m/>
    <m/>
    <n v="0"/>
    <n v="0"/>
    <n v="0"/>
    <n v="0"/>
    <n v="0"/>
    <n v="0"/>
  </r>
  <r>
    <x v="6"/>
    <s v="Louisiana Technical College-Lamar Salter Campus"/>
    <n v="160843"/>
    <x v="13"/>
    <s v="sem"/>
    <s v="sem"/>
    <m/>
    <m/>
    <m/>
    <m/>
    <m/>
    <m/>
    <m/>
    <m/>
    <n v="0"/>
    <n v="0"/>
    <n v="0"/>
    <n v="0"/>
    <m/>
    <m/>
    <n v="0"/>
    <n v="0"/>
    <m/>
    <m/>
    <m/>
    <m/>
    <m/>
    <m/>
    <m/>
    <m/>
    <n v="0"/>
    <n v="0"/>
    <n v="0"/>
    <n v="0"/>
    <m/>
    <m/>
    <n v="0"/>
    <n v="0"/>
    <m/>
    <m/>
    <m/>
    <m/>
    <m/>
    <m/>
    <m/>
    <m/>
    <n v="0"/>
    <n v="0"/>
    <n v="0"/>
    <n v="0"/>
    <n v="0"/>
    <n v="0"/>
  </r>
  <r>
    <x v="6"/>
    <s v="Louisiana Technical College-Mansfield Campus"/>
    <n v="159692"/>
    <x v="13"/>
    <s v="sem"/>
    <s v="sem"/>
    <m/>
    <m/>
    <m/>
    <m/>
    <m/>
    <m/>
    <m/>
    <m/>
    <n v="0"/>
    <n v="0"/>
    <n v="0"/>
    <n v="0"/>
    <m/>
    <m/>
    <n v="0"/>
    <n v="0"/>
    <m/>
    <m/>
    <m/>
    <m/>
    <m/>
    <m/>
    <m/>
    <m/>
    <n v="0"/>
    <n v="0"/>
    <n v="0"/>
    <n v="0"/>
    <m/>
    <m/>
    <n v="0"/>
    <n v="0"/>
    <m/>
    <m/>
    <m/>
    <m/>
    <m/>
    <m/>
    <m/>
    <m/>
    <n v="0"/>
    <n v="0"/>
    <n v="0"/>
    <n v="0"/>
    <n v="0"/>
    <n v="0"/>
  </r>
  <r>
    <x v="6"/>
    <s v="Louisiana Technical College-Morgan Smith Campus"/>
    <n v="159249"/>
    <x v="13"/>
    <s v="sem"/>
    <s v="sem"/>
    <m/>
    <m/>
    <m/>
    <m/>
    <m/>
    <m/>
    <m/>
    <m/>
    <n v="0"/>
    <n v="0"/>
    <n v="0"/>
    <n v="0"/>
    <m/>
    <m/>
    <n v="0"/>
    <n v="0"/>
    <m/>
    <m/>
    <m/>
    <m/>
    <m/>
    <m/>
    <m/>
    <m/>
    <n v="0"/>
    <n v="0"/>
    <n v="0"/>
    <n v="0"/>
    <m/>
    <m/>
    <n v="0"/>
    <n v="0"/>
    <m/>
    <m/>
    <m/>
    <m/>
    <m/>
    <m/>
    <m/>
    <m/>
    <n v="0"/>
    <n v="0"/>
    <n v="0"/>
    <n v="0"/>
    <n v="0"/>
    <n v="0"/>
  </r>
  <r>
    <x v="6"/>
    <s v="Louisiana Technical College-Nachitoches Campus"/>
    <n v="159823"/>
    <x v="13"/>
    <s v="sem"/>
    <s v="sem"/>
    <m/>
    <m/>
    <m/>
    <m/>
    <m/>
    <m/>
    <m/>
    <m/>
    <n v="0"/>
    <n v="0"/>
    <n v="0"/>
    <n v="0"/>
    <m/>
    <m/>
    <n v="0"/>
    <n v="0"/>
    <m/>
    <m/>
    <m/>
    <m/>
    <m/>
    <m/>
    <m/>
    <m/>
    <n v="0"/>
    <n v="0"/>
    <n v="0"/>
    <n v="0"/>
    <m/>
    <m/>
    <n v="0"/>
    <n v="0"/>
    <m/>
    <m/>
    <m/>
    <m/>
    <m/>
    <m/>
    <m/>
    <m/>
    <n v="0"/>
    <n v="0"/>
    <n v="0"/>
    <n v="0"/>
    <n v="0"/>
    <n v="0"/>
  </r>
  <r>
    <x v="6"/>
    <s v="Louisiana Technical College-North Central Campus"/>
    <n v="159984"/>
    <x v="13"/>
    <s v="sem"/>
    <s v="sem"/>
    <m/>
    <m/>
    <m/>
    <m/>
    <m/>
    <m/>
    <m/>
    <m/>
    <n v="0"/>
    <n v="0"/>
    <n v="0"/>
    <n v="0"/>
    <m/>
    <m/>
    <n v="0"/>
    <n v="0"/>
    <m/>
    <m/>
    <m/>
    <m/>
    <m/>
    <m/>
    <m/>
    <m/>
    <n v="0"/>
    <n v="0"/>
    <n v="0"/>
    <n v="0"/>
    <m/>
    <m/>
    <n v="0"/>
    <n v="0"/>
    <m/>
    <m/>
    <m/>
    <m/>
    <m/>
    <m/>
    <m/>
    <m/>
    <n v="0"/>
    <n v="0"/>
    <n v="0"/>
    <n v="0"/>
    <n v="0"/>
    <n v="0"/>
  </r>
  <r>
    <x v="6"/>
    <s v="Louisiana Technical College-Northeast Louisiana Campus"/>
    <n v="160001"/>
    <x v="13"/>
    <s v="sem"/>
    <s v="sem"/>
    <m/>
    <m/>
    <m/>
    <m/>
    <m/>
    <m/>
    <m/>
    <m/>
    <n v="0"/>
    <n v="0"/>
    <n v="0"/>
    <n v="0"/>
    <m/>
    <m/>
    <n v="0"/>
    <n v="0"/>
    <m/>
    <m/>
    <m/>
    <m/>
    <m/>
    <m/>
    <m/>
    <m/>
    <n v="0"/>
    <n v="0"/>
    <n v="0"/>
    <n v="0"/>
    <m/>
    <m/>
    <n v="0"/>
    <n v="0"/>
    <m/>
    <m/>
    <m/>
    <m/>
    <m/>
    <m/>
    <m/>
    <m/>
    <n v="0"/>
    <n v="0"/>
    <n v="0"/>
    <n v="0"/>
    <n v="0"/>
    <n v="0"/>
  </r>
  <r>
    <x v="6"/>
    <s v="Louisiana Technical College-Northwest Louisiana Campus"/>
    <n v="160010"/>
    <x v="13"/>
    <s v="sem"/>
    <s v="sem"/>
    <m/>
    <m/>
    <m/>
    <m/>
    <m/>
    <m/>
    <m/>
    <m/>
    <n v="0"/>
    <n v="0"/>
    <n v="0"/>
    <n v="0"/>
    <m/>
    <m/>
    <n v="0"/>
    <n v="0"/>
    <m/>
    <m/>
    <m/>
    <m/>
    <m/>
    <m/>
    <m/>
    <m/>
    <n v="0"/>
    <n v="0"/>
    <n v="0"/>
    <n v="0"/>
    <m/>
    <m/>
    <n v="0"/>
    <n v="0"/>
    <m/>
    <m/>
    <m/>
    <m/>
    <m/>
    <m/>
    <m/>
    <m/>
    <n v="0"/>
    <n v="0"/>
    <n v="0"/>
    <n v="0"/>
    <n v="0"/>
    <n v="0"/>
  </r>
  <r>
    <x v="6"/>
    <s v="Louisiana Technical College-Oakdale Campus"/>
    <n v="160047"/>
    <x v="13"/>
    <s v="sem"/>
    <s v="sem"/>
    <m/>
    <m/>
    <m/>
    <m/>
    <m/>
    <m/>
    <m/>
    <m/>
    <n v="0"/>
    <n v="0"/>
    <n v="0"/>
    <n v="0"/>
    <m/>
    <m/>
    <n v="0"/>
    <n v="0"/>
    <m/>
    <m/>
    <m/>
    <m/>
    <m/>
    <m/>
    <m/>
    <m/>
    <n v="0"/>
    <n v="0"/>
    <n v="0"/>
    <n v="0"/>
    <m/>
    <m/>
    <n v="0"/>
    <n v="0"/>
    <m/>
    <m/>
    <m/>
    <m/>
    <m/>
    <m/>
    <m/>
    <m/>
    <n v="0"/>
    <n v="0"/>
    <n v="0"/>
    <n v="0"/>
    <n v="0"/>
    <n v="0"/>
  </r>
  <r>
    <x v="6"/>
    <s v="Louisiana Technical College-River Parishes Campus"/>
    <n v="160311"/>
    <x v="13"/>
    <s v="sem"/>
    <s v="sem"/>
    <m/>
    <m/>
    <m/>
    <m/>
    <m/>
    <m/>
    <m/>
    <m/>
    <n v="0"/>
    <n v="0"/>
    <n v="0"/>
    <n v="0"/>
    <m/>
    <m/>
    <n v="0"/>
    <n v="0"/>
    <m/>
    <m/>
    <m/>
    <m/>
    <m/>
    <m/>
    <m/>
    <m/>
    <n v="0"/>
    <n v="0"/>
    <n v="0"/>
    <n v="0"/>
    <m/>
    <m/>
    <n v="0"/>
    <n v="0"/>
    <m/>
    <m/>
    <m/>
    <m/>
    <m/>
    <m/>
    <m/>
    <m/>
    <n v="0"/>
    <n v="0"/>
    <n v="0"/>
    <n v="0"/>
    <n v="0"/>
    <n v="0"/>
  </r>
  <r>
    <x v="6"/>
    <s v="Louisiana Technical College-Ruston Campus"/>
    <n v="160366"/>
    <x v="13"/>
    <s v="sem"/>
    <s v="sem"/>
    <m/>
    <m/>
    <m/>
    <m/>
    <m/>
    <m/>
    <m/>
    <m/>
    <n v="0"/>
    <n v="0"/>
    <n v="0"/>
    <n v="0"/>
    <m/>
    <m/>
    <n v="0"/>
    <n v="0"/>
    <m/>
    <m/>
    <m/>
    <m/>
    <m/>
    <m/>
    <m/>
    <m/>
    <n v="0"/>
    <n v="0"/>
    <n v="0"/>
    <n v="0"/>
    <m/>
    <m/>
    <n v="0"/>
    <n v="0"/>
    <m/>
    <m/>
    <m/>
    <m/>
    <m/>
    <m/>
    <m/>
    <m/>
    <n v="0"/>
    <n v="0"/>
    <n v="0"/>
    <n v="0"/>
    <n v="0"/>
    <n v="0"/>
  </r>
  <r>
    <x v="6"/>
    <s v="Louisiana Technical College-Sabine Valley Campus"/>
    <n v="160384"/>
    <x v="13"/>
    <s v="sem"/>
    <s v="sem"/>
    <m/>
    <m/>
    <m/>
    <m/>
    <m/>
    <m/>
    <m/>
    <m/>
    <n v="0"/>
    <n v="0"/>
    <n v="0"/>
    <n v="0"/>
    <m/>
    <m/>
    <n v="0"/>
    <n v="0"/>
    <m/>
    <m/>
    <m/>
    <m/>
    <m/>
    <m/>
    <m/>
    <m/>
    <n v="0"/>
    <n v="0"/>
    <n v="0"/>
    <n v="0"/>
    <m/>
    <m/>
    <n v="0"/>
    <n v="0"/>
    <m/>
    <m/>
    <m/>
    <m/>
    <m/>
    <m/>
    <m/>
    <m/>
    <n v="0"/>
    <n v="0"/>
    <n v="0"/>
    <n v="0"/>
    <n v="0"/>
    <n v="0"/>
  </r>
  <r>
    <x v="6"/>
    <s v="Louisiana Technical College-Shelby M. Jackson Campus"/>
    <n v="158583"/>
    <x v="13"/>
    <s v="sem"/>
    <s v="sem"/>
    <m/>
    <m/>
    <m/>
    <m/>
    <m/>
    <m/>
    <m/>
    <m/>
    <n v="0"/>
    <n v="0"/>
    <n v="0"/>
    <n v="0"/>
    <m/>
    <m/>
    <n v="0"/>
    <n v="0"/>
    <m/>
    <m/>
    <m/>
    <m/>
    <m/>
    <m/>
    <m/>
    <m/>
    <n v="0"/>
    <n v="0"/>
    <n v="0"/>
    <n v="0"/>
    <m/>
    <m/>
    <n v="0"/>
    <n v="0"/>
    <m/>
    <m/>
    <m/>
    <m/>
    <m/>
    <m/>
    <m/>
    <m/>
    <n v="0"/>
    <n v="0"/>
    <n v="0"/>
    <n v="0"/>
    <n v="0"/>
    <n v="0"/>
  </r>
  <r>
    <x v="6"/>
    <s v="Louisiana Technical College-Shreveport/Bossier Campus"/>
    <n v="160427"/>
    <x v="13"/>
    <s v="sem"/>
    <s v="sem"/>
    <m/>
    <m/>
    <m/>
    <m/>
    <m/>
    <m/>
    <m/>
    <m/>
    <n v="0"/>
    <n v="0"/>
    <n v="0"/>
    <n v="0"/>
    <m/>
    <m/>
    <n v="0"/>
    <n v="0"/>
    <m/>
    <m/>
    <m/>
    <m/>
    <m/>
    <m/>
    <m/>
    <m/>
    <n v="0"/>
    <n v="0"/>
    <n v="0"/>
    <n v="0"/>
    <m/>
    <m/>
    <n v="0"/>
    <n v="0"/>
    <m/>
    <m/>
    <m/>
    <m/>
    <m/>
    <m/>
    <m/>
    <m/>
    <n v="0"/>
    <n v="0"/>
    <n v="0"/>
    <n v="0"/>
    <n v="0"/>
    <n v="0"/>
  </r>
  <r>
    <x v="6"/>
    <s v="Louisiana Technical College-Sidney N. Collier Campus"/>
    <n v="160436"/>
    <x v="13"/>
    <s v="sem"/>
    <s v="sem"/>
    <m/>
    <m/>
    <m/>
    <m/>
    <m/>
    <m/>
    <m/>
    <m/>
    <n v="0"/>
    <n v="0"/>
    <n v="0"/>
    <n v="0"/>
    <m/>
    <m/>
    <n v="0"/>
    <n v="0"/>
    <m/>
    <m/>
    <m/>
    <m/>
    <m/>
    <m/>
    <m/>
    <m/>
    <n v="0"/>
    <n v="0"/>
    <n v="0"/>
    <n v="0"/>
    <m/>
    <m/>
    <n v="0"/>
    <n v="0"/>
    <m/>
    <m/>
    <m/>
    <m/>
    <m/>
    <m/>
    <m/>
    <m/>
    <n v="0"/>
    <n v="0"/>
    <n v="0"/>
    <n v="0"/>
    <n v="0"/>
    <n v="0"/>
  </r>
  <r>
    <x v="6"/>
    <s v="Louisiana Technical College-Slidell Campus"/>
    <n v="160454"/>
    <x v="13"/>
    <s v="sem"/>
    <s v="sem"/>
    <m/>
    <m/>
    <m/>
    <m/>
    <m/>
    <m/>
    <m/>
    <m/>
    <n v="0"/>
    <n v="0"/>
    <n v="0"/>
    <n v="0"/>
    <m/>
    <m/>
    <n v="0"/>
    <n v="0"/>
    <m/>
    <m/>
    <m/>
    <m/>
    <m/>
    <m/>
    <m/>
    <m/>
    <n v="0"/>
    <n v="0"/>
    <n v="0"/>
    <n v="0"/>
    <m/>
    <m/>
    <n v="0"/>
    <n v="0"/>
    <m/>
    <m/>
    <m/>
    <m/>
    <m/>
    <m/>
    <m/>
    <m/>
    <n v="0"/>
    <n v="0"/>
    <n v="0"/>
    <n v="0"/>
    <n v="0"/>
    <n v="0"/>
  </r>
  <r>
    <x v="6"/>
    <s v="Louisiana Technical College-Sullivan Campus"/>
    <n v="160667"/>
    <x v="13"/>
    <s v="sem"/>
    <s v="sem"/>
    <m/>
    <m/>
    <m/>
    <m/>
    <m/>
    <m/>
    <m/>
    <m/>
    <n v="0"/>
    <n v="0"/>
    <n v="0"/>
    <n v="0"/>
    <m/>
    <m/>
    <n v="0"/>
    <n v="0"/>
    <m/>
    <m/>
    <m/>
    <m/>
    <m/>
    <m/>
    <m/>
    <m/>
    <n v="0"/>
    <n v="0"/>
    <n v="0"/>
    <n v="0"/>
    <m/>
    <m/>
    <n v="0"/>
    <n v="0"/>
    <m/>
    <m/>
    <m/>
    <m/>
    <m/>
    <m/>
    <m/>
    <m/>
    <n v="0"/>
    <n v="0"/>
    <n v="0"/>
    <n v="0"/>
    <n v="0"/>
    <n v="0"/>
  </r>
  <r>
    <x v="6"/>
    <s v="Louisiana Technical College-T.H. Harris Campus"/>
    <n v="160676"/>
    <x v="13"/>
    <s v="sem"/>
    <s v="sem"/>
    <m/>
    <m/>
    <m/>
    <m/>
    <m/>
    <m/>
    <m/>
    <m/>
    <n v="0"/>
    <n v="0"/>
    <n v="0"/>
    <n v="0"/>
    <m/>
    <m/>
    <n v="0"/>
    <n v="0"/>
    <m/>
    <m/>
    <m/>
    <m/>
    <m/>
    <m/>
    <m/>
    <m/>
    <n v="0"/>
    <n v="0"/>
    <n v="0"/>
    <n v="0"/>
    <m/>
    <m/>
    <n v="0"/>
    <n v="0"/>
    <m/>
    <m/>
    <m/>
    <m/>
    <m/>
    <m/>
    <m/>
    <m/>
    <n v="0"/>
    <n v="0"/>
    <n v="0"/>
    <n v="0"/>
    <n v="0"/>
    <n v="0"/>
  </r>
  <r>
    <x v="6"/>
    <s v="Louisiana Technical College-Tallulah Campus"/>
    <n v="160685"/>
    <x v="13"/>
    <s v="sem"/>
    <s v="sem"/>
    <m/>
    <m/>
    <m/>
    <m/>
    <m/>
    <m/>
    <m/>
    <m/>
    <n v="0"/>
    <n v="0"/>
    <n v="0"/>
    <n v="0"/>
    <m/>
    <m/>
    <n v="0"/>
    <n v="0"/>
    <m/>
    <m/>
    <m/>
    <m/>
    <m/>
    <m/>
    <m/>
    <m/>
    <n v="0"/>
    <n v="0"/>
    <n v="0"/>
    <n v="0"/>
    <m/>
    <m/>
    <n v="0"/>
    <n v="0"/>
    <m/>
    <m/>
    <m/>
    <m/>
    <m/>
    <m/>
    <m/>
    <m/>
    <n v="0"/>
    <n v="0"/>
    <n v="0"/>
    <n v="0"/>
    <n v="0"/>
    <n v="0"/>
  </r>
  <r>
    <x v="6"/>
    <s v="Louisiana Technical College-Teche Area Campus"/>
    <n v="160694"/>
    <x v="13"/>
    <s v="sem"/>
    <s v="sem"/>
    <m/>
    <m/>
    <m/>
    <m/>
    <m/>
    <m/>
    <m/>
    <m/>
    <n v="0"/>
    <n v="0"/>
    <n v="0"/>
    <n v="0"/>
    <m/>
    <m/>
    <n v="0"/>
    <n v="0"/>
    <m/>
    <m/>
    <m/>
    <m/>
    <m/>
    <m/>
    <m/>
    <m/>
    <n v="0"/>
    <n v="0"/>
    <n v="0"/>
    <n v="0"/>
    <m/>
    <m/>
    <n v="0"/>
    <n v="0"/>
    <m/>
    <m/>
    <m/>
    <m/>
    <m/>
    <m/>
    <m/>
    <m/>
    <n v="0"/>
    <n v="0"/>
    <n v="0"/>
    <n v="0"/>
    <n v="0"/>
    <n v="0"/>
  </r>
  <r>
    <x v="6"/>
    <s v="Louisiana Technical College-West Jefferson Campus"/>
    <n v="159267"/>
    <x v="13"/>
    <s v="sem"/>
    <s v="sem"/>
    <m/>
    <m/>
    <m/>
    <m/>
    <m/>
    <m/>
    <m/>
    <m/>
    <n v="0"/>
    <n v="0"/>
    <n v="0"/>
    <n v="0"/>
    <m/>
    <m/>
    <n v="0"/>
    <n v="0"/>
    <m/>
    <m/>
    <m/>
    <m/>
    <m/>
    <m/>
    <m/>
    <m/>
    <n v="0"/>
    <n v="0"/>
    <n v="0"/>
    <n v="0"/>
    <m/>
    <m/>
    <n v="0"/>
    <n v="0"/>
    <m/>
    <m/>
    <m/>
    <m/>
    <m/>
    <m/>
    <m/>
    <m/>
    <n v="0"/>
    <n v="0"/>
    <n v="0"/>
    <n v="0"/>
    <n v="0"/>
    <n v="0"/>
  </r>
  <r>
    <x v="6"/>
    <s v="Louisiana Technical College-Westside Campus"/>
    <n v="160870"/>
    <x v="13"/>
    <s v="sem"/>
    <s v="sem"/>
    <m/>
    <m/>
    <m/>
    <m/>
    <m/>
    <m/>
    <m/>
    <m/>
    <n v="0"/>
    <n v="0"/>
    <n v="0"/>
    <n v="0"/>
    <m/>
    <m/>
    <n v="0"/>
    <n v="0"/>
    <m/>
    <m/>
    <m/>
    <m/>
    <m/>
    <m/>
    <m/>
    <m/>
    <n v="0"/>
    <n v="0"/>
    <n v="0"/>
    <n v="0"/>
    <m/>
    <m/>
    <n v="0"/>
    <n v="0"/>
    <m/>
    <m/>
    <m/>
    <m/>
    <m/>
    <m/>
    <m/>
    <m/>
    <n v="0"/>
    <n v="0"/>
    <n v="0"/>
    <n v="0"/>
    <n v="0"/>
    <n v="0"/>
  </r>
  <r>
    <x v="6"/>
    <s v="Louisiana Technical College-Young Memorial Campus"/>
    <n v="160913"/>
    <x v="13"/>
    <s v="sem"/>
    <s v="sem"/>
    <m/>
    <m/>
    <m/>
    <m/>
    <m/>
    <m/>
    <m/>
    <m/>
    <n v="0"/>
    <n v="0"/>
    <n v="0"/>
    <n v="0"/>
    <m/>
    <m/>
    <n v="0"/>
    <n v="0"/>
    <m/>
    <m/>
    <m/>
    <m/>
    <m/>
    <m/>
    <m/>
    <m/>
    <n v="0"/>
    <n v="0"/>
    <n v="0"/>
    <n v="0"/>
    <m/>
    <m/>
    <n v="0"/>
    <n v="0"/>
    <m/>
    <m/>
    <m/>
    <m/>
    <m/>
    <m/>
    <m/>
    <m/>
    <n v="0"/>
    <n v="0"/>
    <n v="0"/>
    <n v="0"/>
    <n v="0"/>
    <n v="0"/>
  </r>
  <r>
    <x v="7"/>
    <s v="University of Maryland College Park"/>
    <n v="163286"/>
    <x v="0"/>
    <s v="sem"/>
    <s v="sem"/>
    <n v="12191"/>
    <n v="12990"/>
    <n v="355682"/>
    <n v="359337"/>
    <n v="39224"/>
    <n v="41691"/>
    <n v="371990"/>
    <n v="377515.5"/>
    <n v="779087"/>
    <n v="25969.566666666666"/>
    <n v="791533.5"/>
    <n v="26384.45"/>
    <m/>
    <m/>
    <n v="0"/>
    <n v="0"/>
    <m/>
    <m/>
    <m/>
    <m/>
    <m/>
    <m/>
    <m/>
    <m/>
    <n v="0"/>
    <n v="0"/>
    <n v="0"/>
    <n v="0"/>
    <m/>
    <m/>
    <n v="0"/>
    <n v="0"/>
    <n v="2087"/>
    <n v="2333"/>
    <n v="65014"/>
    <n v="65949.34"/>
    <n v="10803"/>
    <n v="13402.5"/>
    <n v="71536"/>
    <n v="73189.84"/>
    <n v="149440"/>
    <n v="6226.666666666667"/>
    <n v="154874.68"/>
    <n v="6453.1116666666667"/>
    <n v="32196.233333333334"/>
    <n v="32837.561666666668"/>
  </r>
  <r>
    <x v="7"/>
    <s v="University of Maryland, Baltimore County"/>
    <n v="163268"/>
    <x v="1"/>
    <s v="sem"/>
    <s v="sem"/>
    <n v="5131"/>
    <n v="4695"/>
    <n v="119669"/>
    <n v="123921.5"/>
    <n v="15657"/>
    <n v="15551"/>
    <n v="131840"/>
    <n v="136196.5"/>
    <n v="272297"/>
    <n v="9076.5666666666675"/>
    <n v="280364"/>
    <n v="9345.4666666666672"/>
    <m/>
    <m/>
    <n v="0"/>
    <n v="0"/>
    <m/>
    <m/>
    <m/>
    <m/>
    <m/>
    <m/>
    <m/>
    <m/>
    <n v="0"/>
    <n v="0"/>
    <n v="0"/>
    <n v="0"/>
    <m/>
    <m/>
    <n v="0"/>
    <n v="0"/>
    <n v="222"/>
    <n v="77"/>
    <n v="12275"/>
    <n v="12697"/>
    <n v="2307"/>
    <n v="2947"/>
    <n v="13983"/>
    <n v="15391"/>
    <n v="28787"/>
    <n v="1199.4583333333333"/>
    <n v="31112"/>
    <n v="1296.3333333333333"/>
    <n v="10276.025000000001"/>
    <n v="10641.800000000001"/>
  </r>
  <r>
    <x v="7"/>
    <s v="Morgan State University"/>
    <n v="163453"/>
    <x v="2"/>
    <s v="sem"/>
    <s v="sem"/>
    <n v="729"/>
    <n v="487"/>
    <n v="76967"/>
    <n v="79508"/>
    <n v="3609"/>
    <n v="2314"/>
    <n v="82732"/>
    <n v="85010"/>
    <n v="164037"/>
    <n v="5467.9"/>
    <n v="167319"/>
    <n v="5577.3"/>
    <m/>
    <m/>
    <n v="0"/>
    <n v="0"/>
    <m/>
    <m/>
    <m/>
    <m/>
    <m/>
    <m/>
    <m/>
    <m/>
    <n v="0"/>
    <n v="0"/>
    <n v="0"/>
    <n v="0"/>
    <m/>
    <m/>
    <n v="0"/>
    <n v="0"/>
    <n v="0"/>
    <n v="0"/>
    <n v="6588"/>
    <n v="6943"/>
    <n v="439"/>
    <n v="399"/>
    <n v="6737"/>
    <n v="7931"/>
    <n v="13764"/>
    <n v="573.5"/>
    <n v="15273"/>
    <n v="636.375"/>
    <n v="6041.4"/>
    <n v="6213.6750000000002"/>
  </r>
  <r>
    <x v="7"/>
    <s v="Towson University "/>
    <n v="164076"/>
    <x v="2"/>
    <s v="sem"/>
    <s v="sem"/>
    <n v="6050"/>
    <n v="6677"/>
    <n v="208688"/>
    <n v="227357"/>
    <n v="21338"/>
    <n v="24793"/>
    <n v="236613"/>
    <n v="239803"/>
    <n v="472689"/>
    <n v="15756.3"/>
    <n v="498630"/>
    <n v="16621"/>
    <m/>
    <m/>
    <n v="0"/>
    <n v="0"/>
    <m/>
    <m/>
    <m/>
    <m/>
    <m/>
    <m/>
    <m/>
    <m/>
    <n v="0"/>
    <n v="0"/>
    <n v="0"/>
    <n v="0"/>
    <m/>
    <m/>
    <n v="0"/>
    <n v="0"/>
    <n v="1067"/>
    <n v="1161"/>
    <n v="21364"/>
    <n v="19755"/>
    <n v="10289"/>
    <n v="9185"/>
    <n v="23120"/>
    <n v="23274"/>
    <n v="55840"/>
    <n v="2326.6666666666665"/>
    <n v="53375"/>
    <n v="2223.9583333333335"/>
    <n v="18082.966666666667"/>
    <n v="18844.958333333332"/>
  </r>
  <r>
    <x v="7"/>
    <s v="Bowie State University "/>
    <n v="162007"/>
    <x v="3"/>
    <s v="sem"/>
    <s v="sem"/>
    <n v="1179"/>
    <n v="1051"/>
    <n v="54115"/>
    <n v="57624"/>
    <n v="3456"/>
    <n v="3241"/>
    <n v="59724"/>
    <n v="59695"/>
    <n v="118474"/>
    <n v="3949.1333333333332"/>
    <n v="121611"/>
    <n v="4053.7"/>
    <m/>
    <m/>
    <n v="0"/>
    <n v="0"/>
    <m/>
    <m/>
    <m/>
    <m/>
    <m/>
    <m/>
    <m/>
    <m/>
    <n v="0"/>
    <n v="0"/>
    <n v="0"/>
    <n v="0"/>
    <m/>
    <m/>
    <n v="0"/>
    <n v="0"/>
    <n v="268"/>
    <n v="262"/>
    <n v="6722"/>
    <n v="7201"/>
    <n v="1744"/>
    <n v="1648"/>
    <n v="7130"/>
    <n v="7777"/>
    <n v="15864"/>
    <n v="661"/>
    <n v="16888"/>
    <n v="703.66666666666663"/>
    <n v="4610.1333333333332"/>
    <n v="4757.3666666666668"/>
  </r>
  <r>
    <x v="7"/>
    <s v="Coppin State University"/>
    <n v="162283"/>
    <x v="3"/>
    <s v="sem"/>
    <s v="sem"/>
    <n v="776"/>
    <n v="907"/>
    <n v="37980"/>
    <n v="40150"/>
    <n v="2468"/>
    <n v="2928"/>
    <n v="43365"/>
    <n v="42930"/>
    <n v="84589"/>
    <n v="2819.6333333333332"/>
    <n v="86915"/>
    <n v="2897.1666666666665"/>
    <m/>
    <m/>
    <n v="0"/>
    <n v="0"/>
    <m/>
    <m/>
    <m/>
    <m/>
    <m/>
    <m/>
    <m/>
    <m/>
    <n v="0"/>
    <n v="0"/>
    <n v="0"/>
    <n v="0"/>
    <m/>
    <m/>
    <n v="0"/>
    <n v="0"/>
    <n v="100"/>
    <n v="148"/>
    <n v="4287"/>
    <n v="5135"/>
    <n v="954"/>
    <n v="621"/>
    <n v="4245"/>
    <n v="2976"/>
    <n v="9586"/>
    <n v="399.41666666666669"/>
    <n v="8880"/>
    <n v="370"/>
    <n v="3219.0499999999997"/>
    <n v="3267.1666666666665"/>
  </r>
  <r>
    <x v="7"/>
    <s v="Frostburg State University "/>
    <n v="162584"/>
    <x v="3"/>
    <s v="sem"/>
    <s v="sem"/>
    <n v="2214"/>
    <n v="2369"/>
    <n v="57137"/>
    <n v="59546"/>
    <n v="3855"/>
    <n v="4427"/>
    <n v="64173"/>
    <n v="66617"/>
    <n v="127379"/>
    <n v="4245.9666666666662"/>
    <n v="132959"/>
    <n v="4431.9666666666662"/>
    <m/>
    <m/>
    <n v="0"/>
    <n v="0"/>
    <m/>
    <m/>
    <m/>
    <m/>
    <m/>
    <m/>
    <m/>
    <m/>
    <n v="0"/>
    <n v="0"/>
    <n v="0"/>
    <n v="0"/>
    <m/>
    <m/>
    <n v="0"/>
    <n v="0"/>
    <n v="486"/>
    <n v="354"/>
    <n v="4090"/>
    <n v="3566"/>
    <n v="2270"/>
    <n v="2478"/>
    <n v="3872"/>
    <n v="4202"/>
    <n v="10718"/>
    <n v="446.58333333333331"/>
    <n v="10600"/>
    <n v="441.66666666666669"/>
    <n v="4692.5499999999993"/>
    <n v="4873.6333333333332"/>
  </r>
  <r>
    <x v="7"/>
    <s v="Salisbury University "/>
    <n v="163851"/>
    <x v="3"/>
    <s v="sem"/>
    <s v="sem"/>
    <n v="6033"/>
    <n v="5790"/>
    <n v="96080"/>
    <n v="101056"/>
    <n v="5909"/>
    <n v="6076"/>
    <n v="105255"/>
    <n v="108346"/>
    <n v="213277"/>
    <n v="7109.2333333333336"/>
    <n v="221268"/>
    <n v="7375.6"/>
    <m/>
    <m/>
    <n v="0"/>
    <n v="0"/>
    <m/>
    <m/>
    <m/>
    <m/>
    <m/>
    <m/>
    <m/>
    <m/>
    <n v="0"/>
    <n v="0"/>
    <n v="0"/>
    <n v="0"/>
    <m/>
    <m/>
    <n v="0"/>
    <n v="0"/>
    <n v="269"/>
    <n v="233"/>
    <n v="4029"/>
    <n v="4155"/>
    <n v="1293"/>
    <n v="1379"/>
    <n v="4058"/>
    <n v="4335"/>
    <n v="9649"/>
    <n v="402.04166666666669"/>
    <n v="10102"/>
    <n v="420.91666666666669"/>
    <n v="7511.2750000000005"/>
    <n v="7796.5166666666673"/>
  </r>
  <r>
    <x v="7"/>
    <s v="University of Baltimore"/>
    <n v="161873"/>
    <x v="3"/>
    <s v="sem"/>
    <s v="sem"/>
    <n v="0"/>
    <n v="120"/>
    <n v="23227"/>
    <n v="26229"/>
    <n v="3913"/>
    <n v="4236"/>
    <n v="27459"/>
    <n v="31703"/>
    <n v="54599"/>
    <n v="1819.9666666666667"/>
    <n v="62288"/>
    <n v="2076.2666666666669"/>
    <m/>
    <m/>
    <n v="0"/>
    <n v="0"/>
    <m/>
    <m/>
    <m/>
    <m/>
    <m/>
    <m/>
    <m/>
    <m/>
    <n v="0"/>
    <n v="0"/>
    <n v="0"/>
    <n v="0"/>
    <m/>
    <m/>
    <n v="0"/>
    <n v="0"/>
    <n v="0"/>
    <n v="60"/>
    <n v="25281"/>
    <n v="25661"/>
    <n v="5038"/>
    <n v="5125"/>
    <n v="27026"/>
    <n v="27471"/>
    <n v="57345"/>
    <n v="2389.375"/>
    <n v="58317"/>
    <n v="2429.875"/>
    <n v="4209.3416666666672"/>
    <n v="4506.1416666666664"/>
  </r>
  <r>
    <x v="7"/>
    <s v="University of Maryland Eastern Shore "/>
    <n v="163338"/>
    <x v="3"/>
    <s v="sem"/>
    <s v="sem"/>
    <n v="972"/>
    <n v="1111"/>
    <n v="45460"/>
    <n v="50160"/>
    <n v="2659"/>
    <n v="3950"/>
    <n v="56323"/>
    <n v="56830"/>
    <n v="105414"/>
    <n v="3513.8"/>
    <n v="112051"/>
    <n v="3735.0333333333333"/>
    <m/>
    <m/>
    <n v="0"/>
    <n v="0"/>
    <m/>
    <m/>
    <m/>
    <m/>
    <m/>
    <m/>
    <m/>
    <m/>
    <n v="0"/>
    <n v="0"/>
    <n v="0"/>
    <n v="0"/>
    <m/>
    <m/>
    <n v="0"/>
    <n v="0"/>
    <n v="153"/>
    <n v="187"/>
    <n v="2571"/>
    <n v="2776"/>
    <n v="1147"/>
    <n v="1086"/>
    <n v="3533"/>
    <n v="3628"/>
    <n v="7404"/>
    <n v="308.5"/>
    <n v="7677"/>
    <n v="319.875"/>
    <n v="3822.3"/>
    <n v="4054.9083333333333"/>
  </r>
  <r>
    <x v="7"/>
    <s v="Saint Mary's College of Maryland"/>
    <n v="163912"/>
    <x v="5"/>
    <s v="sem"/>
    <s v="sem"/>
    <n v="0"/>
    <n v="0"/>
    <n v="29724.55"/>
    <n v="29956.5"/>
    <n v="1343"/>
    <n v="1171"/>
    <n v="30866"/>
    <n v="31122"/>
    <n v="61933.55"/>
    <n v="2064.4516666666668"/>
    <n v="62249.5"/>
    <n v="2074.9833333333331"/>
    <m/>
    <m/>
    <n v="0"/>
    <n v="0"/>
    <m/>
    <m/>
    <m/>
    <m/>
    <m/>
    <m/>
    <m/>
    <m/>
    <n v="0"/>
    <n v="0"/>
    <n v="0"/>
    <n v="0"/>
    <m/>
    <m/>
    <n v="0"/>
    <n v="0"/>
    <n v="0"/>
    <n v="0"/>
    <n v="408"/>
    <n v="636"/>
    <n v="318"/>
    <n v="527"/>
    <n v="556"/>
    <n v="761"/>
    <n v="1282"/>
    <n v="53.416666666666664"/>
    <n v="1924"/>
    <n v="80.166666666666671"/>
    <n v="2117.8683333333333"/>
    <n v="2155.1499999999996"/>
  </r>
  <r>
    <x v="7"/>
    <s v="Anne Arundel Community College "/>
    <n v="161767"/>
    <x v="6"/>
    <s v="sem"/>
    <s v="sem"/>
    <n v="2274"/>
    <n v="2530"/>
    <n v="114635"/>
    <n v="122319"/>
    <n v="27894"/>
    <n v="32088"/>
    <n v="131297"/>
    <n v="146394"/>
    <n v="276100"/>
    <n v="9203.3333333333339"/>
    <n v="303331"/>
    <n v="10111.033333333333"/>
    <m/>
    <m/>
    <n v="0"/>
    <n v="0"/>
    <m/>
    <m/>
    <m/>
    <m/>
    <m/>
    <m/>
    <m/>
    <m/>
    <n v="0"/>
    <n v="0"/>
    <n v="0"/>
    <n v="0"/>
    <m/>
    <m/>
    <n v="0"/>
    <n v="0"/>
    <m/>
    <m/>
    <m/>
    <m/>
    <m/>
    <m/>
    <m/>
    <m/>
    <n v="0"/>
    <n v="0"/>
    <n v="0"/>
    <n v="0"/>
    <n v="9203.3333333333339"/>
    <n v="10111.033333333333"/>
  </r>
  <r>
    <x v="7"/>
    <s v="Community College of Baltimore County (all campuses)"/>
    <n v="434672"/>
    <x v="6"/>
    <s v="sem"/>
    <s v="sem"/>
    <n v="7204.5"/>
    <n v="9816.5"/>
    <n v="151390.5"/>
    <n v="165109"/>
    <n v="37577"/>
    <n v="40594"/>
    <n v="174835.5"/>
    <n v="204832"/>
    <n v="371007.5"/>
    <n v="12366.916666666666"/>
    <n v="420351.5"/>
    <n v="14011.716666666667"/>
    <m/>
    <m/>
    <n v="0"/>
    <n v="0"/>
    <m/>
    <m/>
    <m/>
    <m/>
    <m/>
    <m/>
    <m/>
    <m/>
    <n v="0"/>
    <n v="0"/>
    <n v="0"/>
    <n v="0"/>
    <m/>
    <m/>
    <n v="0"/>
    <n v="0"/>
    <m/>
    <m/>
    <m/>
    <m/>
    <m/>
    <m/>
    <m/>
    <m/>
    <n v="0"/>
    <n v="0"/>
    <n v="0"/>
    <n v="0"/>
    <n v="12366.916666666666"/>
    <n v="14011.716666666667"/>
  </r>
  <r>
    <x v="7"/>
    <s v="Montgomery College (all campuses)"/>
    <n v="163426"/>
    <x v="6"/>
    <s v="sem"/>
    <s v="sem"/>
    <n v="2379"/>
    <n v="2638"/>
    <n v="233700"/>
    <n v="248118"/>
    <n v="78456"/>
    <n v="84798"/>
    <n v="255761"/>
    <n v="299288"/>
    <n v="570296"/>
    <n v="19009.866666666665"/>
    <n v="634842"/>
    <n v="21161.4"/>
    <m/>
    <m/>
    <n v="0"/>
    <n v="0"/>
    <m/>
    <m/>
    <m/>
    <m/>
    <m/>
    <m/>
    <m/>
    <m/>
    <n v="0"/>
    <n v="0"/>
    <n v="0"/>
    <n v="0"/>
    <m/>
    <m/>
    <n v="0"/>
    <n v="0"/>
    <m/>
    <m/>
    <m/>
    <m/>
    <m/>
    <m/>
    <m/>
    <m/>
    <n v="0"/>
    <n v="0"/>
    <n v="0"/>
    <n v="0"/>
    <n v="19009.866666666665"/>
    <n v="21161.4"/>
  </r>
  <r>
    <x v="7"/>
    <s v="Prince George's Community College "/>
    <n v="163657"/>
    <x v="6"/>
    <s v="sem"/>
    <s v="sem"/>
    <n v="0"/>
    <n v="926"/>
    <n v="90676"/>
    <n v="91405"/>
    <n v="24846"/>
    <n v="27404"/>
    <n v="95960"/>
    <n v="117826"/>
    <n v="211482"/>
    <n v="7049.4"/>
    <n v="237561"/>
    <n v="7918.7"/>
    <m/>
    <m/>
    <n v="0"/>
    <n v="0"/>
    <m/>
    <m/>
    <m/>
    <m/>
    <m/>
    <m/>
    <m/>
    <m/>
    <n v="0"/>
    <n v="0"/>
    <n v="0"/>
    <n v="0"/>
    <m/>
    <m/>
    <n v="0"/>
    <n v="0"/>
    <m/>
    <m/>
    <m/>
    <m/>
    <m/>
    <m/>
    <m/>
    <m/>
    <n v="0"/>
    <n v="0"/>
    <n v="0"/>
    <n v="0"/>
    <n v="7049.4"/>
    <n v="7918.7"/>
  </r>
  <r>
    <x v="7"/>
    <s v="Allegany College of Maryland"/>
    <n v="161688"/>
    <x v="7"/>
    <s v="sem"/>
    <s v="sem"/>
    <n v="0"/>
    <n v="0"/>
    <n v="32391"/>
    <n v="33769"/>
    <n v="3957"/>
    <n v="4292"/>
    <n v="37755"/>
    <n v="40352"/>
    <n v="74103"/>
    <n v="2470.1"/>
    <n v="78413"/>
    <n v="2613.7666666666669"/>
    <m/>
    <m/>
    <n v="0"/>
    <n v="0"/>
    <m/>
    <m/>
    <m/>
    <m/>
    <m/>
    <m/>
    <m/>
    <m/>
    <n v="0"/>
    <n v="0"/>
    <n v="0"/>
    <n v="0"/>
    <m/>
    <m/>
    <n v="0"/>
    <n v="0"/>
    <m/>
    <m/>
    <m/>
    <m/>
    <m/>
    <m/>
    <m/>
    <m/>
    <n v="0"/>
    <n v="0"/>
    <n v="0"/>
    <n v="0"/>
    <n v="2470.1"/>
    <n v="2613.7666666666669"/>
  </r>
  <r>
    <x v="7"/>
    <s v="Baltimore City Community College"/>
    <n v="161864"/>
    <x v="7"/>
    <s v="sem"/>
    <s v="sem"/>
    <n v="1969"/>
    <n v="1984"/>
    <n v="63348"/>
    <n v="61224"/>
    <n v="13124"/>
    <n v="13699"/>
    <n v="67594"/>
    <n v="64434"/>
    <n v="146035"/>
    <n v="4867.833333333333"/>
    <n v="141341"/>
    <n v="4711.3666666666668"/>
    <m/>
    <m/>
    <n v="0"/>
    <n v="0"/>
    <m/>
    <m/>
    <m/>
    <m/>
    <m/>
    <m/>
    <m/>
    <m/>
    <n v="0"/>
    <n v="0"/>
    <n v="0"/>
    <n v="0"/>
    <m/>
    <m/>
    <n v="0"/>
    <n v="0"/>
    <m/>
    <m/>
    <m/>
    <m/>
    <m/>
    <m/>
    <m/>
    <m/>
    <n v="0"/>
    <n v="0"/>
    <n v="0"/>
    <n v="0"/>
    <n v="4867.833333333333"/>
    <n v="4711.3666666666668"/>
  </r>
  <r>
    <x v="7"/>
    <s v="College of Southern Maryland"/>
    <n v="162122"/>
    <x v="7"/>
    <s v="sem"/>
    <s v="sem"/>
    <n v="966"/>
    <n v="0"/>
    <n v="58370"/>
    <n v="65843"/>
    <n v="11624"/>
    <n v="13945"/>
    <n v="71463"/>
    <n v="77521"/>
    <n v="142423"/>
    <n v="4747.4333333333334"/>
    <n v="157309"/>
    <n v="5243.6333333333332"/>
    <m/>
    <m/>
    <n v="0"/>
    <n v="0"/>
    <m/>
    <m/>
    <m/>
    <m/>
    <m/>
    <m/>
    <m/>
    <m/>
    <n v="0"/>
    <n v="0"/>
    <n v="0"/>
    <n v="0"/>
    <m/>
    <m/>
    <n v="0"/>
    <n v="0"/>
    <m/>
    <m/>
    <m/>
    <m/>
    <m/>
    <m/>
    <m/>
    <m/>
    <n v="0"/>
    <n v="0"/>
    <n v="0"/>
    <n v="0"/>
    <n v="4747.4333333333334"/>
    <n v="5243.6333333333332"/>
  </r>
  <r>
    <x v="7"/>
    <s v="Frederick Community College "/>
    <n v="162557"/>
    <x v="7"/>
    <s v="sem"/>
    <s v="sem"/>
    <n v="1873"/>
    <n v="2195"/>
    <n v="43091"/>
    <n v="47729"/>
    <n v="9320"/>
    <n v="11071"/>
    <n v="43334"/>
    <n v="13790"/>
    <n v="97618"/>
    <n v="3253.9333333333334"/>
    <n v="74785"/>
    <n v="2492.8333333333335"/>
    <m/>
    <m/>
    <n v="0"/>
    <n v="0"/>
    <m/>
    <m/>
    <m/>
    <m/>
    <m/>
    <m/>
    <m/>
    <m/>
    <n v="0"/>
    <n v="0"/>
    <n v="0"/>
    <n v="0"/>
    <m/>
    <m/>
    <n v="0"/>
    <n v="0"/>
    <m/>
    <m/>
    <m/>
    <m/>
    <m/>
    <m/>
    <m/>
    <m/>
    <n v="0"/>
    <n v="0"/>
    <n v="0"/>
    <n v="0"/>
    <n v="3253.9333333333334"/>
    <n v="2492.8333333333335"/>
  </r>
  <r>
    <x v="7"/>
    <s v="Hagerstown Community College "/>
    <n v="162690"/>
    <x v="7"/>
    <s v="sem"/>
    <s v="sem"/>
    <n v="0"/>
    <n v="0"/>
    <n v="31106"/>
    <n v="35132"/>
    <n v="8077"/>
    <n v="10169"/>
    <n v="35963"/>
    <n v="40922"/>
    <n v="75146"/>
    <n v="2504.8666666666668"/>
    <n v="86223"/>
    <n v="2874.1"/>
    <m/>
    <m/>
    <n v="0"/>
    <n v="0"/>
    <m/>
    <m/>
    <m/>
    <m/>
    <m/>
    <m/>
    <m/>
    <m/>
    <n v="0"/>
    <n v="0"/>
    <n v="0"/>
    <n v="0"/>
    <m/>
    <m/>
    <n v="0"/>
    <n v="0"/>
    <m/>
    <m/>
    <m/>
    <m/>
    <m/>
    <m/>
    <m/>
    <m/>
    <n v="0"/>
    <n v="0"/>
    <n v="0"/>
    <n v="0"/>
    <n v="2504.8666666666668"/>
    <n v="2874.1"/>
  </r>
  <r>
    <x v="7"/>
    <s v="Harford Community College "/>
    <n v="162706"/>
    <x v="7"/>
    <s v="sem"/>
    <s v="sem"/>
    <n v="0"/>
    <n v="1390"/>
    <n v="47134"/>
    <n v="51117"/>
    <n v="9359"/>
    <n v="9746.5"/>
    <n v="61178"/>
    <n v="61208.5"/>
    <n v="117671"/>
    <n v="3922.3666666666668"/>
    <n v="123462"/>
    <n v="4115.3999999999996"/>
    <m/>
    <m/>
    <n v="0"/>
    <n v="0"/>
    <m/>
    <m/>
    <m/>
    <m/>
    <m/>
    <m/>
    <m/>
    <m/>
    <n v="0"/>
    <n v="0"/>
    <n v="0"/>
    <n v="0"/>
    <m/>
    <m/>
    <n v="0"/>
    <n v="0"/>
    <m/>
    <m/>
    <m/>
    <m/>
    <m/>
    <m/>
    <m/>
    <m/>
    <n v="0"/>
    <n v="0"/>
    <n v="0"/>
    <n v="0"/>
    <n v="3922.3666666666668"/>
    <n v="4115.3999999999996"/>
  </r>
  <r>
    <x v="7"/>
    <s v="Howard Community College "/>
    <n v="162779"/>
    <x v="7"/>
    <s v="sem"/>
    <s v="sem"/>
    <n v="4048"/>
    <n v="4403"/>
    <n v="58216"/>
    <n v="64017"/>
    <n v="13313"/>
    <n v="14561"/>
    <n v="68759"/>
    <n v="76903"/>
    <n v="144336"/>
    <n v="4811.2"/>
    <n v="159884"/>
    <n v="5329.4666666666662"/>
    <m/>
    <m/>
    <n v="0"/>
    <n v="0"/>
    <m/>
    <m/>
    <m/>
    <m/>
    <m/>
    <m/>
    <m/>
    <m/>
    <n v="0"/>
    <n v="0"/>
    <n v="0"/>
    <n v="0"/>
    <m/>
    <m/>
    <n v="0"/>
    <n v="0"/>
    <m/>
    <m/>
    <m/>
    <m/>
    <m/>
    <m/>
    <m/>
    <m/>
    <n v="0"/>
    <n v="0"/>
    <n v="0"/>
    <n v="0"/>
    <n v="4811.2"/>
    <n v="5329.4666666666662"/>
  </r>
  <r>
    <x v="7"/>
    <s v="Carroll Community College"/>
    <n v="405872"/>
    <x v="8"/>
    <s v="sem"/>
    <s v="sem"/>
    <n v="1486"/>
    <n v="1706"/>
    <n v="29581"/>
    <n v="29534"/>
    <n v="5659"/>
    <n v="6192"/>
    <n v="32916"/>
    <n v="36626"/>
    <n v="69642"/>
    <n v="2321.4"/>
    <n v="74058"/>
    <n v="2468.6"/>
    <m/>
    <m/>
    <n v="0"/>
    <n v="0"/>
    <m/>
    <m/>
    <m/>
    <m/>
    <m/>
    <m/>
    <m/>
    <m/>
    <n v="0"/>
    <n v="0"/>
    <n v="0"/>
    <n v="0"/>
    <m/>
    <m/>
    <n v="0"/>
    <n v="0"/>
    <m/>
    <m/>
    <m/>
    <m/>
    <m/>
    <m/>
    <m/>
    <m/>
    <n v="0"/>
    <n v="0"/>
    <n v="0"/>
    <n v="0"/>
    <n v="2321.4"/>
    <n v="2468.6"/>
  </r>
  <r>
    <x v="7"/>
    <s v="Cecil Community College "/>
    <n v="162104"/>
    <x v="8"/>
    <s v="sem"/>
    <s v="sem"/>
    <n v="0"/>
    <n v="0"/>
    <n v="17758"/>
    <n v="20000.5"/>
    <n v="3332"/>
    <n v="3332"/>
    <n v="21604"/>
    <n v="21589"/>
    <n v="42694"/>
    <n v="1423.1333333333334"/>
    <n v="44921.5"/>
    <n v="1497.3833333333334"/>
    <m/>
    <m/>
    <n v="0"/>
    <n v="0"/>
    <m/>
    <m/>
    <m/>
    <m/>
    <m/>
    <m/>
    <m/>
    <m/>
    <n v="0"/>
    <n v="0"/>
    <n v="0"/>
    <n v="0"/>
    <m/>
    <m/>
    <n v="0"/>
    <n v="0"/>
    <m/>
    <m/>
    <m/>
    <m/>
    <m/>
    <m/>
    <m/>
    <m/>
    <n v="0"/>
    <n v="0"/>
    <n v="0"/>
    <n v="0"/>
    <n v="1423.1333333333334"/>
    <n v="1497.3833333333334"/>
  </r>
  <r>
    <x v="7"/>
    <s v="Chesapeake College "/>
    <n v="162168"/>
    <x v="8"/>
    <s v="sem"/>
    <s v="sem"/>
    <n v="142"/>
    <n v="36"/>
    <n v="19939"/>
    <n v="21854"/>
    <n v="2553"/>
    <n v="3110"/>
    <n v="22567"/>
    <n v="25506"/>
    <n v="45201"/>
    <n v="1506.7"/>
    <n v="50506"/>
    <n v="1683.5333333333333"/>
    <m/>
    <m/>
    <n v="0"/>
    <n v="0"/>
    <m/>
    <m/>
    <m/>
    <m/>
    <m/>
    <m/>
    <m/>
    <m/>
    <n v="0"/>
    <n v="0"/>
    <n v="0"/>
    <n v="0"/>
    <m/>
    <m/>
    <n v="0"/>
    <n v="0"/>
    <m/>
    <m/>
    <m/>
    <m/>
    <m/>
    <m/>
    <m/>
    <m/>
    <n v="0"/>
    <n v="0"/>
    <n v="0"/>
    <n v="0"/>
    <n v="1506.7"/>
    <n v="1683.5333333333333"/>
  </r>
  <r>
    <x v="7"/>
    <s v="Garrett College "/>
    <n v="162609"/>
    <x v="8"/>
    <s v="sem"/>
    <s v="sem"/>
    <n v="144"/>
    <n v="191"/>
    <n v="8480.75"/>
    <n v="7834.25"/>
    <n v="567"/>
    <n v="608"/>
    <n v="9561.75"/>
    <n v="10460.299999999999"/>
    <n v="18753.5"/>
    <n v="625.11666666666667"/>
    <n v="19093.55"/>
    <n v="636.4516666666666"/>
    <m/>
    <m/>
    <n v="0"/>
    <n v="0"/>
    <m/>
    <m/>
    <m/>
    <m/>
    <m/>
    <m/>
    <m/>
    <m/>
    <n v="0"/>
    <n v="0"/>
    <n v="0"/>
    <n v="0"/>
    <m/>
    <m/>
    <n v="0"/>
    <n v="0"/>
    <m/>
    <m/>
    <m/>
    <m/>
    <m/>
    <m/>
    <m/>
    <m/>
    <n v="0"/>
    <n v="0"/>
    <n v="0"/>
    <n v="0"/>
    <n v="625.11666666666667"/>
    <n v="636.4516666666666"/>
  </r>
  <r>
    <x v="7"/>
    <s v="Wor-Wic Community College "/>
    <n v="164313"/>
    <x v="8"/>
    <s v="sem"/>
    <s v="sem"/>
    <n v="0"/>
    <n v="0"/>
    <n v="26286"/>
    <n v="30124"/>
    <n v="7405"/>
    <n v="8049"/>
    <n v="32298"/>
    <n v="35520"/>
    <n v="65989"/>
    <n v="2199.6333333333332"/>
    <n v="73693"/>
    <n v="2456.4333333333334"/>
    <m/>
    <m/>
    <n v="0"/>
    <n v="0"/>
    <m/>
    <m/>
    <m/>
    <m/>
    <m/>
    <m/>
    <m/>
    <m/>
    <n v="0"/>
    <n v="0"/>
    <n v="0"/>
    <n v="0"/>
    <m/>
    <m/>
    <n v="0"/>
    <n v="0"/>
    <m/>
    <m/>
    <m/>
    <m/>
    <m/>
    <m/>
    <m/>
    <m/>
    <n v="0"/>
    <n v="0"/>
    <n v="0"/>
    <n v="0"/>
    <n v="2199.6333333333332"/>
    <n v="2456.4333333333334"/>
  </r>
  <r>
    <x v="8"/>
    <s v="Mississippi State University"/>
    <n v="176080"/>
    <x v="0"/>
    <s v="sem"/>
    <s v="sem"/>
    <m/>
    <m/>
    <n v="158091"/>
    <n v="169888"/>
    <n v="35135"/>
    <n v="37546"/>
    <n v="182510"/>
    <n v="191418"/>
    <n v="375736"/>
    <n v="12524.533333333333"/>
    <n v="398852"/>
    <n v="13295.066666666668"/>
    <m/>
    <m/>
    <n v="0"/>
    <n v="0"/>
    <m/>
    <m/>
    <m/>
    <m/>
    <m/>
    <m/>
    <m/>
    <m/>
    <n v="0"/>
    <n v="0"/>
    <n v="0"/>
    <n v="0"/>
    <m/>
    <m/>
    <n v="0"/>
    <n v="0"/>
    <m/>
    <m/>
    <n v="22695"/>
    <n v="22961"/>
    <n v="12324"/>
    <n v="12262"/>
    <n v="23540"/>
    <n v="25302"/>
    <n v="58559"/>
    <n v="2439.9583333333335"/>
    <n v="60525"/>
    <n v="2521.875"/>
    <n v="14964.491666666667"/>
    <n v="15816.941666666668"/>
  </r>
  <r>
    <x v="8"/>
    <s v="University of Southern Mississippi"/>
    <n v="176372"/>
    <x v="0"/>
    <s v="sem"/>
    <s v="sem"/>
    <m/>
    <m/>
    <n v="134464"/>
    <n v="138867"/>
    <n v="33946.5"/>
    <n v="34516"/>
    <n v="152048"/>
    <n v="168476"/>
    <n v="320458.5"/>
    <n v="10681.95"/>
    <n v="341859"/>
    <n v="11395.3"/>
    <m/>
    <m/>
    <n v="0"/>
    <n v="0"/>
    <m/>
    <m/>
    <m/>
    <m/>
    <m/>
    <m/>
    <m/>
    <m/>
    <n v="0"/>
    <n v="0"/>
    <n v="0"/>
    <n v="0"/>
    <m/>
    <m/>
    <n v="0"/>
    <n v="0"/>
    <m/>
    <m/>
    <n v="21072"/>
    <n v="21383"/>
    <n v="15700"/>
    <n v="16263"/>
    <n v="21617"/>
    <n v="23630"/>
    <n v="58389"/>
    <n v="2432.875"/>
    <n v="61276"/>
    <n v="2553.1666666666665"/>
    <n v="13114.825000000001"/>
    <n v="13948.466666666665"/>
  </r>
  <r>
    <x v="8"/>
    <s v="Jackson State University "/>
    <n v="175856"/>
    <x v="1"/>
    <s v="sem"/>
    <s v="sem"/>
    <m/>
    <m/>
    <n v="71703.5"/>
    <n v="65914"/>
    <n v="11963"/>
    <n v="12438"/>
    <n v="72762.5"/>
    <n v="73042"/>
    <n v="156429"/>
    <n v="5214.3"/>
    <n v="151394"/>
    <n v="5046.4666666666662"/>
    <m/>
    <m/>
    <n v="0"/>
    <n v="0"/>
    <m/>
    <m/>
    <m/>
    <m/>
    <m/>
    <m/>
    <m/>
    <m/>
    <n v="0"/>
    <n v="0"/>
    <n v="0"/>
    <n v="0"/>
    <m/>
    <m/>
    <n v="0"/>
    <n v="0"/>
    <m/>
    <m/>
    <n v="11581.5"/>
    <n v="10598"/>
    <n v="5162"/>
    <n v="4657"/>
    <n v="11278.5"/>
    <n v="12243"/>
    <n v="28022"/>
    <n v="1167.5833333333333"/>
    <n v="27498"/>
    <n v="1145.75"/>
    <n v="6381.8833333333332"/>
    <n v="6192.2166666666662"/>
  </r>
  <r>
    <x v="8"/>
    <s v="University of Mississippi"/>
    <n v="176017"/>
    <x v="1"/>
    <s v="sem"/>
    <s v="sem"/>
    <m/>
    <m/>
    <n v="162147"/>
    <n v="163493"/>
    <n v="41185"/>
    <n v="42348"/>
    <n v="165340"/>
    <n v="176405"/>
    <n v="368672"/>
    <n v="12289.066666666668"/>
    <n v="382246"/>
    <n v="12741.533333333333"/>
    <m/>
    <m/>
    <n v="0"/>
    <n v="0"/>
    <m/>
    <m/>
    <m/>
    <m/>
    <m/>
    <m/>
    <m/>
    <m/>
    <n v="0"/>
    <n v="0"/>
    <n v="0"/>
    <n v="0"/>
    <m/>
    <m/>
    <n v="0"/>
    <n v="0"/>
    <m/>
    <m/>
    <n v="23415"/>
    <n v="24014"/>
    <n v="7421"/>
    <n v="8373"/>
    <n v="24195"/>
    <n v="23781"/>
    <n v="55031"/>
    <n v="2292.9583333333335"/>
    <n v="56168"/>
    <n v="2340.3333333333335"/>
    <n v="14582.025000000001"/>
    <n v="15081.866666666667"/>
  </r>
  <r>
    <x v="8"/>
    <s v="Alcorn State University"/>
    <n v="175342"/>
    <x v="3"/>
    <s v="sem"/>
    <s v="sem"/>
    <m/>
    <m/>
    <n v="34331"/>
    <n v="33348"/>
    <n v="8043"/>
    <n v="8213"/>
    <n v="35545"/>
    <n v="35612"/>
    <n v="77919"/>
    <n v="2597.3000000000002"/>
    <n v="77173"/>
    <n v="2572.4333333333334"/>
    <m/>
    <m/>
    <n v="0"/>
    <n v="0"/>
    <m/>
    <m/>
    <m/>
    <m/>
    <m/>
    <m/>
    <m/>
    <m/>
    <n v="0"/>
    <n v="0"/>
    <n v="0"/>
    <n v="0"/>
    <m/>
    <m/>
    <n v="0"/>
    <n v="0"/>
    <m/>
    <m/>
    <n v="4231"/>
    <n v="3932"/>
    <n v="2851"/>
    <n v="2038"/>
    <n v="4201"/>
    <n v="4283"/>
    <n v="11283"/>
    <n v="470.125"/>
    <n v="10253"/>
    <n v="427.20833333333331"/>
    <n v="3067.4250000000002"/>
    <n v="2999.6416666666669"/>
  </r>
  <r>
    <x v="8"/>
    <s v="Delta State University"/>
    <n v="175616"/>
    <x v="3"/>
    <s v="sem"/>
    <s v="sem"/>
    <m/>
    <m/>
    <n v="36647"/>
    <n v="34534"/>
    <n v="5842"/>
    <n v="5747"/>
    <n v="39349"/>
    <n v="38299"/>
    <n v="81838"/>
    <n v="2727.9333333333334"/>
    <n v="78580"/>
    <n v="2619.3333333333335"/>
    <m/>
    <m/>
    <n v="0"/>
    <n v="0"/>
    <m/>
    <m/>
    <m/>
    <m/>
    <m/>
    <m/>
    <m/>
    <m/>
    <n v="0"/>
    <n v="0"/>
    <n v="0"/>
    <n v="0"/>
    <m/>
    <m/>
    <n v="0"/>
    <n v="0"/>
    <m/>
    <m/>
    <n v="4626"/>
    <n v="4912"/>
    <n v="3283"/>
    <n v="3920"/>
    <n v="4908"/>
    <n v="5227"/>
    <n v="12817"/>
    <n v="534.04166666666663"/>
    <n v="14059"/>
    <n v="585.79166666666663"/>
    <n v="3261.9749999999999"/>
    <n v="3205.125"/>
  </r>
  <r>
    <x v="8"/>
    <s v="Mississippi Valley State University"/>
    <n v="176044"/>
    <x v="3"/>
    <s v="sem"/>
    <s v="sem"/>
    <m/>
    <m/>
    <n v="31044"/>
    <n v="30642"/>
    <n v="6790"/>
    <n v="8098"/>
    <n v="32580"/>
    <n v="31190"/>
    <n v="70414"/>
    <n v="2347.1333333333332"/>
    <n v="69930"/>
    <n v="2331"/>
    <m/>
    <m/>
    <n v="0"/>
    <n v="0"/>
    <m/>
    <m/>
    <m/>
    <m/>
    <m/>
    <m/>
    <m/>
    <m/>
    <n v="0"/>
    <n v="0"/>
    <n v="0"/>
    <n v="0"/>
    <m/>
    <m/>
    <n v="0"/>
    <n v="0"/>
    <m/>
    <m/>
    <n v="2604"/>
    <n v="2583"/>
    <n v="1536"/>
    <n v="1116"/>
    <n v="2613"/>
    <n v="2738"/>
    <n v="6753"/>
    <n v="281.375"/>
    <n v="6437"/>
    <n v="268.20833333333331"/>
    <n v="2628.5083333333332"/>
    <n v="2599.2083333333335"/>
  </r>
  <r>
    <x v="8"/>
    <s v="Hinds Community College "/>
    <n v="175786"/>
    <x v="6"/>
    <s v="sem"/>
    <s v="sem"/>
    <m/>
    <m/>
    <n v="106140"/>
    <n v="112905"/>
    <n v="20865"/>
    <n v="22952"/>
    <n v="125632"/>
    <n v="147328"/>
    <n v="252637"/>
    <n v="8421.2333333333336"/>
    <n v="283185"/>
    <n v="9439.5"/>
    <n v="1757"/>
    <n v="3003"/>
    <n v="252637"/>
    <n v="283185"/>
    <m/>
    <m/>
    <m/>
    <m/>
    <m/>
    <m/>
    <m/>
    <m/>
    <n v="0"/>
    <n v="0"/>
    <n v="0"/>
    <n v="0"/>
    <m/>
    <m/>
    <n v="0"/>
    <n v="0"/>
    <m/>
    <m/>
    <m/>
    <m/>
    <m/>
    <m/>
    <m/>
    <m/>
    <n v="0"/>
    <n v="0"/>
    <n v="0"/>
    <n v="0"/>
    <n v="8421.2333333333336"/>
    <n v="9439.5"/>
  </r>
  <r>
    <x v="8"/>
    <s v="Mississippi Gulf Coast Community College "/>
    <n v="176071"/>
    <x v="6"/>
    <s v="sem"/>
    <s v="sem"/>
    <m/>
    <m/>
    <n v="91265"/>
    <n v="93874"/>
    <n v="23590"/>
    <n v="24990"/>
    <n v="102962"/>
    <n v="117170"/>
    <n v="217817"/>
    <n v="7260.5666666666666"/>
    <n v="236034"/>
    <n v="7867.8"/>
    <n v="2179"/>
    <n v="1678"/>
    <n v="217817"/>
    <n v="236034"/>
    <m/>
    <m/>
    <m/>
    <m/>
    <m/>
    <m/>
    <m/>
    <m/>
    <n v="0"/>
    <n v="0"/>
    <n v="0"/>
    <n v="0"/>
    <m/>
    <m/>
    <n v="0"/>
    <n v="0"/>
    <m/>
    <m/>
    <m/>
    <m/>
    <m/>
    <m/>
    <m/>
    <m/>
    <n v="0"/>
    <n v="0"/>
    <n v="0"/>
    <n v="0"/>
    <n v="7260.5666666666666"/>
    <n v="7867.8"/>
  </r>
  <r>
    <x v="8"/>
    <s v="Northwest Mississippi Community College "/>
    <n v="176178"/>
    <x v="6"/>
    <s v="sem"/>
    <s v="sem"/>
    <m/>
    <m/>
    <n v="72133"/>
    <n v="78052"/>
    <n v="14665"/>
    <n v="17336"/>
    <n v="83032"/>
    <n v="97910"/>
    <n v="169830"/>
    <n v="5661"/>
    <n v="193298"/>
    <n v="6443.2666666666664"/>
    <n v="1179"/>
    <n v="1337"/>
    <n v="169830"/>
    <n v="193298"/>
    <m/>
    <m/>
    <m/>
    <m/>
    <m/>
    <m/>
    <m/>
    <m/>
    <n v="0"/>
    <n v="0"/>
    <n v="0"/>
    <n v="0"/>
    <m/>
    <m/>
    <n v="0"/>
    <n v="0"/>
    <m/>
    <m/>
    <m/>
    <m/>
    <m/>
    <m/>
    <m/>
    <m/>
    <n v="0"/>
    <n v="0"/>
    <n v="0"/>
    <n v="0"/>
    <n v="5661"/>
    <n v="6443.2666666666664"/>
  </r>
  <r>
    <x v="8"/>
    <s v="Copiah-Lincoln Community College "/>
    <n v="175573"/>
    <x v="7"/>
    <s v="sem"/>
    <s v="sem"/>
    <m/>
    <m/>
    <n v="38010"/>
    <n v="37008"/>
    <n v="6345"/>
    <n v="7772"/>
    <n v="41550"/>
    <n v="46326"/>
    <n v="85905"/>
    <n v="2863.5"/>
    <n v="91106"/>
    <n v="3036.8666666666668"/>
    <n v="1601"/>
    <n v="974"/>
    <n v="85905"/>
    <n v="91106"/>
    <m/>
    <m/>
    <m/>
    <m/>
    <m/>
    <m/>
    <m/>
    <m/>
    <n v="0"/>
    <n v="0"/>
    <n v="0"/>
    <n v="0"/>
    <m/>
    <m/>
    <n v="0"/>
    <n v="0"/>
    <m/>
    <m/>
    <m/>
    <m/>
    <m/>
    <m/>
    <m/>
    <m/>
    <n v="0"/>
    <n v="0"/>
    <n v="0"/>
    <n v="0"/>
    <n v="2863.5"/>
    <n v="3036.8666666666668"/>
  </r>
  <r>
    <x v="8"/>
    <s v="East Central Community College "/>
    <n v="175643"/>
    <x v="7"/>
    <s v="sem"/>
    <s v="sem"/>
    <m/>
    <m/>
    <n v="26910"/>
    <n v="28568"/>
    <n v="5223"/>
    <n v="6009"/>
    <n v="30342"/>
    <n v="33579"/>
    <n v="62475"/>
    <n v="2082.5"/>
    <n v="68156"/>
    <n v="2271.8666666666668"/>
    <n v="374"/>
    <n v="357"/>
    <n v="62475"/>
    <n v="68156"/>
    <m/>
    <m/>
    <m/>
    <m/>
    <m/>
    <m/>
    <m/>
    <m/>
    <n v="0"/>
    <n v="0"/>
    <n v="0"/>
    <n v="0"/>
    <m/>
    <m/>
    <n v="0"/>
    <n v="0"/>
    <m/>
    <m/>
    <m/>
    <m/>
    <m/>
    <m/>
    <m/>
    <m/>
    <n v="0"/>
    <n v="0"/>
    <n v="0"/>
    <n v="0"/>
    <n v="2082.5"/>
    <n v="2271.8666666666668"/>
  </r>
  <r>
    <x v="8"/>
    <s v="East Mississippi Community College "/>
    <n v="175652"/>
    <x v="7"/>
    <s v="sem"/>
    <s v="sem"/>
    <m/>
    <m/>
    <n v="42674"/>
    <n v="43526"/>
    <n v="11498"/>
    <n v="15412"/>
    <n v="48077"/>
    <n v="59118"/>
    <n v="102249"/>
    <n v="3408.3"/>
    <n v="118056"/>
    <n v="3935.2"/>
    <n v="20"/>
    <n v="927"/>
    <n v="102249"/>
    <n v="118056"/>
    <m/>
    <m/>
    <m/>
    <m/>
    <m/>
    <m/>
    <m/>
    <m/>
    <n v="0"/>
    <n v="0"/>
    <n v="0"/>
    <n v="0"/>
    <m/>
    <m/>
    <n v="0"/>
    <n v="0"/>
    <m/>
    <m/>
    <m/>
    <m/>
    <m/>
    <m/>
    <m/>
    <m/>
    <n v="0"/>
    <n v="0"/>
    <n v="0"/>
    <n v="0"/>
    <n v="3408.3"/>
    <n v="3935.2"/>
  </r>
  <r>
    <x v="8"/>
    <s v="Holmes Community College "/>
    <n v="175810"/>
    <x v="7"/>
    <s v="sem"/>
    <s v="sem"/>
    <m/>
    <m/>
    <n v="51538"/>
    <n v="54179"/>
    <n v="14496"/>
    <n v="16893"/>
    <n v="59537"/>
    <n v="70788"/>
    <n v="125571"/>
    <n v="4185.7"/>
    <n v="141860"/>
    <n v="4728.666666666667"/>
    <n v="870"/>
    <n v="1642"/>
    <n v="125571"/>
    <n v="141860"/>
    <m/>
    <m/>
    <m/>
    <m/>
    <m/>
    <m/>
    <m/>
    <m/>
    <n v="0"/>
    <n v="0"/>
    <n v="0"/>
    <n v="0"/>
    <m/>
    <m/>
    <n v="0"/>
    <n v="0"/>
    <m/>
    <m/>
    <m/>
    <m/>
    <m/>
    <m/>
    <m/>
    <m/>
    <n v="0"/>
    <n v="0"/>
    <n v="0"/>
    <n v="0"/>
    <n v="4185.7"/>
    <n v="4728.666666666667"/>
  </r>
  <r>
    <x v="8"/>
    <s v="Itawamba Community College "/>
    <n v="175829"/>
    <x v="7"/>
    <s v="sem"/>
    <s v="sem"/>
    <m/>
    <m/>
    <n v="71257"/>
    <n v="77539"/>
    <n v="14468"/>
    <n v="18354"/>
    <n v="85619"/>
    <n v="99914"/>
    <n v="171344"/>
    <n v="5711.4666666666662"/>
    <n v="195807"/>
    <n v="6526.9"/>
    <n v="701"/>
    <n v="1011"/>
    <n v="171344"/>
    <n v="195807"/>
    <m/>
    <m/>
    <m/>
    <m/>
    <m/>
    <m/>
    <m/>
    <m/>
    <n v="0"/>
    <n v="0"/>
    <n v="0"/>
    <n v="0"/>
    <m/>
    <m/>
    <n v="0"/>
    <n v="0"/>
    <m/>
    <m/>
    <m/>
    <m/>
    <m/>
    <m/>
    <m/>
    <m/>
    <n v="0"/>
    <n v="0"/>
    <n v="0"/>
    <n v="0"/>
    <n v="5711.4666666666662"/>
    <n v="6526.9"/>
  </r>
  <r>
    <x v="8"/>
    <s v="Jones County Junior College "/>
    <n v="175883"/>
    <x v="7"/>
    <s v="sem"/>
    <s v="sem"/>
    <m/>
    <m/>
    <n v="51229"/>
    <n v="50663"/>
    <n v="13668"/>
    <n v="14865"/>
    <n v="61015"/>
    <n v="68705"/>
    <n v="125912"/>
    <n v="4197.0666666666666"/>
    <n v="134233"/>
    <n v="4474.4333333333334"/>
    <n v="1251"/>
    <n v="1665"/>
    <n v="125912"/>
    <n v="134233"/>
    <m/>
    <m/>
    <m/>
    <m/>
    <m/>
    <m/>
    <m/>
    <m/>
    <n v="0"/>
    <n v="0"/>
    <n v="0"/>
    <n v="0"/>
    <m/>
    <m/>
    <n v="0"/>
    <n v="0"/>
    <m/>
    <m/>
    <m/>
    <m/>
    <m/>
    <m/>
    <m/>
    <m/>
    <n v="0"/>
    <n v="0"/>
    <n v="0"/>
    <n v="0"/>
    <n v="4197.0666666666666"/>
    <n v="4474.4333333333334"/>
  </r>
  <r>
    <x v="8"/>
    <s v="Meridian Community College "/>
    <n v="175935"/>
    <x v="7"/>
    <s v="sem"/>
    <s v="sem"/>
    <m/>
    <m/>
    <n v="37498"/>
    <n v="38726"/>
    <n v="6899"/>
    <n v="6942"/>
    <n v="44458"/>
    <n v="47996"/>
    <n v="88855"/>
    <n v="2961.8333333333335"/>
    <n v="93664"/>
    <n v="3122.1333333333332"/>
    <n v="528"/>
    <n v="314"/>
    <n v="88855"/>
    <n v="93664"/>
    <m/>
    <m/>
    <m/>
    <m/>
    <m/>
    <m/>
    <m/>
    <m/>
    <n v="0"/>
    <n v="0"/>
    <n v="0"/>
    <n v="0"/>
    <m/>
    <m/>
    <n v="0"/>
    <n v="0"/>
    <m/>
    <m/>
    <m/>
    <m/>
    <m/>
    <m/>
    <m/>
    <m/>
    <n v="0"/>
    <n v="0"/>
    <n v="0"/>
    <n v="0"/>
    <n v="2961.8333333333335"/>
    <n v="3122.1333333333332"/>
  </r>
  <r>
    <x v="8"/>
    <s v="Mississippi Delta Community College "/>
    <n v="176008"/>
    <x v="7"/>
    <s v="sem"/>
    <s v="sem"/>
    <m/>
    <m/>
    <n v="32874"/>
    <n v="35938"/>
    <n v="4795"/>
    <n v="5889"/>
    <n v="37704"/>
    <n v="41448"/>
    <n v="75373"/>
    <n v="2512.4333333333334"/>
    <n v="83275"/>
    <n v="2775.8333333333335"/>
    <n v="1207"/>
    <n v="1272"/>
    <n v="75373"/>
    <n v="83275"/>
    <m/>
    <m/>
    <m/>
    <m/>
    <m/>
    <m/>
    <m/>
    <m/>
    <n v="0"/>
    <n v="0"/>
    <n v="0"/>
    <n v="0"/>
    <m/>
    <m/>
    <n v="0"/>
    <n v="0"/>
    <m/>
    <m/>
    <m/>
    <m/>
    <m/>
    <m/>
    <m/>
    <m/>
    <n v="0"/>
    <n v="0"/>
    <n v="0"/>
    <n v="0"/>
    <n v="2512.4333333333334"/>
    <n v="2775.8333333333335"/>
  </r>
  <r>
    <x v="8"/>
    <s v="Northeast Mississippi Community College "/>
    <n v="176169"/>
    <x v="7"/>
    <s v="sem"/>
    <s v="sem"/>
    <m/>
    <m/>
    <n v="37464"/>
    <n v="37442"/>
    <n v="4479"/>
    <n v="5263"/>
    <n v="42175"/>
    <n v="48043"/>
    <n v="84118"/>
    <n v="2803.9333333333334"/>
    <n v="90748"/>
    <n v="3024.9333333333334"/>
    <n v="389"/>
    <n v="543"/>
    <n v="84118"/>
    <n v="90748"/>
    <m/>
    <m/>
    <m/>
    <m/>
    <m/>
    <m/>
    <m/>
    <m/>
    <n v="0"/>
    <n v="0"/>
    <n v="0"/>
    <n v="0"/>
    <m/>
    <m/>
    <n v="0"/>
    <n v="0"/>
    <m/>
    <m/>
    <m/>
    <m/>
    <m/>
    <m/>
    <m/>
    <m/>
    <n v="0"/>
    <n v="0"/>
    <n v="0"/>
    <n v="0"/>
    <n v="2803.9333333333334"/>
    <n v="3024.9333333333334"/>
  </r>
  <r>
    <x v="8"/>
    <s v="Pearl River Community College "/>
    <n v="176239"/>
    <x v="7"/>
    <s v="sem"/>
    <s v="sem"/>
    <m/>
    <m/>
    <n v="42287"/>
    <n v="45982"/>
    <n v="9063"/>
    <n v="10133"/>
    <n v="51016"/>
    <n v="58438"/>
    <n v="102366"/>
    <n v="3412.2"/>
    <n v="114553"/>
    <n v="3818.4333333333334"/>
    <n v="895"/>
    <n v="1064"/>
    <n v="102366"/>
    <n v="114553"/>
    <m/>
    <m/>
    <m/>
    <m/>
    <m/>
    <m/>
    <m/>
    <m/>
    <n v="0"/>
    <n v="0"/>
    <n v="0"/>
    <n v="0"/>
    <m/>
    <m/>
    <n v="0"/>
    <n v="0"/>
    <m/>
    <m/>
    <m/>
    <m/>
    <m/>
    <m/>
    <m/>
    <m/>
    <n v="0"/>
    <n v="0"/>
    <n v="0"/>
    <n v="0"/>
    <n v="3412.2"/>
    <n v="3818.4333333333334"/>
  </r>
  <r>
    <x v="8"/>
    <s v="Coahoma Community College "/>
    <n v="175519"/>
    <x v="8"/>
    <s v="sem"/>
    <s v="sem"/>
    <m/>
    <m/>
    <n v="21034"/>
    <n v="24704"/>
    <n v="1708"/>
    <n v="2050"/>
    <n v="21634"/>
    <n v="28100"/>
    <n v="44376"/>
    <n v="1479.2"/>
    <n v="54854"/>
    <n v="1828.4666666666667"/>
    <n v="880"/>
    <n v="594"/>
    <n v="44376"/>
    <n v="54854"/>
    <m/>
    <m/>
    <m/>
    <m/>
    <m/>
    <m/>
    <m/>
    <m/>
    <n v="0"/>
    <n v="0"/>
    <n v="0"/>
    <n v="0"/>
    <m/>
    <m/>
    <n v="0"/>
    <n v="0"/>
    <m/>
    <m/>
    <m/>
    <m/>
    <m/>
    <m/>
    <m/>
    <m/>
    <n v="0"/>
    <n v="0"/>
    <n v="0"/>
    <n v="0"/>
    <n v="1479.2"/>
    <n v="1828.4666666666667"/>
  </r>
  <r>
    <x v="8"/>
    <s v="Southwest Mississippi Community College"/>
    <n v="176354"/>
    <x v="8"/>
    <s v="sem"/>
    <s v="sem"/>
    <m/>
    <m/>
    <n v="20878"/>
    <n v="22509"/>
    <n v="2632"/>
    <n v="3125"/>
    <n v="25412"/>
    <n v="27592"/>
    <n v="48922"/>
    <n v="1630.7333333333333"/>
    <n v="53226"/>
    <n v="1774.2"/>
    <n v="415"/>
    <n v="939"/>
    <n v="48922"/>
    <n v="53226"/>
    <m/>
    <m/>
    <m/>
    <m/>
    <m/>
    <m/>
    <m/>
    <m/>
    <n v="0"/>
    <n v="0"/>
    <n v="0"/>
    <n v="0"/>
    <m/>
    <m/>
    <n v="0"/>
    <n v="0"/>
    <m/>
    <m/>
    <m/>
    <m/>
    <m/>
    <m/>
    <m/>
    <m/>
    <n v="0"/>
    <n v="0"/>
    <n v="0"/>
    <n v="0"/>
    <n v="1630.7333333333333"/>
    <n v="1774.2"/>
  </r>
  <r>
    <x v="8"/>
    <s v="Mississippi University for Women"/>
    <n v="176035"/>
    <x v="4"/>
    <s v="sem"/>
    <s v="sem"/>
    <m/>
    <m/>
    <n v="24319"/>
    <n v="24446"/>
    <n v="5075"/>
    <n v="6097"/>
    <n v="26112"/>
    <n v="27261"/>
    <n v="55506"/>
    <n v="1850.2"/>
    <n v="57804"/>
    <n v="1926.8"/>
    <m/>
    <m/>
    <n v="0"/>
    <n v="0"/>
    <m/>
    <m/>
    <m/>
    <m/>
    <m/>
    <m/>
    <m/>
    <m/>
    <n v="0"/>
    <n v="0"/>
    <n v="0"/>
    <n v="0"/>
    <m/>
    <m/>
    <n v="0"/>
    <n v="0"/>
    <m/>
    <m/>
    <n v="825"/>
    <n v="1386"/>
    <n v="1093"/>
    <n v="1392"/>
    <n v="1177"/>
    <n v="1635"/>
    <n v="3095"/>
    <n v="128.95833333333334"/>
    <n v="4413"/>
    <n v="183.875"/>
    <n v="1979.1583333333333"/>
    <n v="2110.6750000000002"/>
  </r>
  <r>
    <x v="9"/>
    <s v="North Carolina State University "/>
    <n v="199193"/>
    <x v="0"/>
    <s v="sem"/>
    <s v="sem"/>
    <m/>
    <m/>
    <n v="306377"/>
    <n v="316606"/>
    <n v="52013"/>
    <n v="56202"/>
    <n v="337998"/>
    <n v="344864"/>
    <n v="696388"/>
    <n v="23212.933333333334"/>
    <n v="717672"/>
    <n v="23922.400000000001"/>
    <m/>
    <m/>
    <n v="0"/>
    <n v="0"/>
    <m/>
    <m/>
    <m/>
    <m/>
    <m/>
    <m/>
    <m/>
    <m/>
    <n v="0"/>
    <n v="0"/>
    <n v="0"/>
    <n v="0"/>
    <m/>
    <m/>
    <n v="0"/>
    <n v="0"/>
    <m/>
    <m/>
    <n v="51210"/>
    <n v="54639"/>
    <n v="7332"/>
    <n v="8049"/>
    <n v="57704"/>
    <n v="61663"/>
    <n v="116246"/>
    <n v="4843.583333333333"/>
    <n v="124351"/>
    <n v="5181.291666666667"/>
    <n v="28056.516666666666"/>
    <n v="29103.691666666669"/>
  </r>
  <r>
    <x v="9"/>
    <s v="University of North Carolina at Chapel Hill "/>
    <n v="199120"/>
    <x v="0"/>
    <s v="sem"/>
    <s v="sem"/>
    <m/>
    <m/>
    <n v="220821"/>
    <n v="228000"/>
    <n v="33062"/>
    <n v="35745"/>
    <n v="241077"/>
    <n v="244296"/>
    <n v="494960"/>
    <n v="16498.666666666668"/>
    <n v="508041"/>
    <n v="16934.7"/>
    <n v="0"/>
    <n v="0"/>
    <n v="494960"/>
    <n v="508041"/>
    <m/>
    <m/>
    <m/>
    <m/>
    <m/>
    <m/>
    <m/>
    <m/>
    <n v="0"/>
    <n v="0"/>
    <n v="0"/>
    <n v="0"/>
    <m/>
    <m/>
    <n v="0"/>
    <n v="0"/>
    <m/>
    <m/>
    <n v="82078"/>
    <n v="84000"/>
    <n v="13026"/>
    <n v="14600"/>
    <n v="92314"/>
    <n v="92202"/>
    <n v="187418"/>
    <n v="7809.083333333333"/>
    <n v="190802"/>
    <n v="7950.083333333333"/>
    <n v="24307.75"/>
    <n v="24884.783333333333"/>
  </r>
  <r>
    <x v="9"/>
    <s v="University of North Carolina at Charlotte"/>
    <n v="199139"/>
    <x v="1"/>
    <s v="sem"/>
    <s v="sem"/>
    <m/>
    <m/>
    <n v="216563"/>
    <n v="229730"/>
    <n v="38693"/>
    <n v="26954"/>
    <n v="242637"/>
    <n v="258471"/>
    <n v="497893"/>
    <n v="16596.433333333334"/>
    <n v="515155"/>
    <n v="17171.833333333332"/>
    <n v="0"/>
    <n v="0"/>
    <n v="497893"/>
    <n v="515155"/>
    <m/>
    <m/>
    <m/>
    <m/>
    <m/>
    <m/>
    <m/>
    <m/>
    <n v="0"/>
    <n v="0"/>
    <n v="0"/>
    <n v="0"/>
    <m/>
    <m/>
    <n v="0"/>
    <n v="0"/>
    <m/>
    <m/>
    <n v="28210"/>
    <n v="30960"/>
    <n v="10226"/>
    <n v="8992"/>
    <n v="31074"/>
    <n v="32693"/>
    <n v="69510"/>
    <n v="2896.25"/>
    <n v="72645"/>
    <n v="3026.875"/>
    <n v="19492.683333333334"/>
    <n v="20198.708333333332"/>
  </r>
  <r>
    <x v="9"/>
    <s v="University of North Carolina at Greensboro"/>
    <n v="199148"/>
    <x v="1"/>
    <s v="sem"/>
    <s v="sem"/>
    <m/>
    <m/>
    <n v="173633"/>
    <n v="186254"/>
    <n v="26613"/>
    <n v="27347"/>
    <n v="193384"/>
    <n v="209538"/>
    <n v="393630"/>
    <n v="13121"/>
    <n v="423139"/>
    <n v="14104.633333333333"/>
    <n v="12546"/>
    <n v="22115"/>
    <n v="393630"/>
    <n v="423139"/>
    <m/>
    <m/>
    <m/>
    <m/>
    <m/>
    <m/>
    <m/>
    <m/>
    <n v="0"/>
    <n v="0"/>
    <n v="0"/>
    <n v="0"/>
    <m/>
    <m/>
    <n v="0"/>
    <n v="0"/>
    <m/>
    <m/>
    <n v="29863"/>
    <n v="29708"/>
    <n v="7287"/>
    <n v="7966"/>
    <n v="31091"/>
    <n v="31741"/>
    <n v="68241"/>
    <n v="2843.375"/>
    <n v="69415"/>
    <n v="2892.2916666666665"/>
    <n v="15964.375"/>
    <n v="16996.924999999999"/>
  </r>
  <r>
    <x v="9"/>
    <s v="Appalachian State University "/>
    <n v="197869"/>
    <x v="2"/>
    <s v="sem"/>
    <s v="sem"/>
    <m/>
    <m/>
    <n v="189910"/>
    <n v="197755"/>
    <n v="31256"/>
    <n v="30275"/>
    <n v="211078"/>
    <n v="214918"/>
    <n v="432244"/>
    <n v="14408.133333333333"/>
    <n v="442948"/>
    <n v="14764.933333333332"/>
    <n v="0"/>
    <n v="0"/>
    <n v="432244"/>
    <n v="442948"/>
    <m/>
    <m/>
    <m/>
    <m/>
    <m/>
    <m/>
    <m/>
    <m/>
    <n v="0"/>
    <n v="0"/>
    <n v="0"/>
    <n v="0"/>
    <m/>
    <m/>
    <n v="0"/>
    <n v="0"/>
    <m/>
    <m/>
    <n v="13385"/>
    <n v="14334"/>
    <n v="8353"/>
    <n v="8813"/>
    <n v="14527"/>
    <n v="14876"/>
    <n v="36265"/>
    <n v="1511.0416666666667"/>
    <n v="38023"/>
    <n v="1584.2916666666667"/>
    <n v="15919.174999999999"/>
    <n v="16349.224999999999"/>
  </r>
  <r>
    <x v="9"/>
    <s v="East Carolina University "/>
    <n v="198464"/>
    <x v="2"/>
    <s v="sem"/>
    <s v="sem"/>
    <m/>
    <m/>
    <n v="242035"/>
    <n v="251474"/>
    <n v="49175"/>
    <n v="54505"/>
    <n v="277518"/>
    <n v="277555"/>
    <n v="568728"/>
    <n v="18957.599999999999"/>
    <n v="583534"/>
    <n v="19451.133333333335"/>
    <n v="0"/>
    <n v="198"/>
    <n v="568728"/>
    <n v="583534"/>
    <m/>
    <m/>
    <m/>
    <m/>
    <m/>
    <m/>
    <m/>
    <m/>
    <n v="0"/>
    <n v="0"/>
    <n v="0"/>
    <n v="0"/>
    <m/>
    <m/>
    <n v="0"/>
    <n v="0"/>
    <m/>
    <m/>
    <n v="35558"/>
    <n v="38138"/>
    <n v="22180"/>
    <n v="21987"/>
    <n v="39620"/>
    <n v="44804"/>
    <n v="97358"/>
    <n v="4056.5833333333335"/>
    <n v="104929"/>
    <n v="4372.041666666667"/>
    <n v="23014.183333333331"/>
    <n v="23823.175000000003"/>
  </r>
  <r>
    <x v="9"/>
    <s v="North Carolina A&amp;T State University"/>
    <n v="199102"/>
    <x v="2"/>
    <s v="sem"/>
    <s v="sem"/>
    <m/>
    <m/>
    <n v="119039"/>
    <n v="114101"/>
    <n v="21517"/>
    <n v="22305"/>
    <n v="122706"/>
    <n v="124393"/>
    <n v="263262"/>
    <n v="8775.4"/>
    <n v="260799"/>
    <n v="8693.2999999999993"/>
    <n v="874"/>
    <n v="1555"/>
    <n v="263262"/>
    <n v="260799"/>
    <m/>
    <m/>
    <m/>
    <m/>
    <m/>
    <m/>
    <m/>
    <m/>
    <n v="0"/>
    <n v="0"/>
    <n v="0"/>
    <n v="0"/>
    <m/>
    <m/>
    <n v="0"/>
    <n v="0"/>
    <m/>
    <m/>
    <n v="14723"/>
    <n v="15677"/>
    <n v="4012"/>
    <n v="3697"/>
    <n v="14601"/>
    <n v="15104"/>
    <n v="33336"/>
    <n v="1389"/>
    <n v="34478"/>
    <n v="1436.5833333333333"/>
    <n v="10164.4"/>
    <n v="10129.883333333333"/>
  </r>
  <r>
    <x v="9"/>
    <s v="North Carolina Central University "/>
    <n v="199157"/>
    <x v="2"/>
    <s v="sem"/>
    <s v="sem"/>
    <m/>
    <m/>
    <n v="77938"/>
    <n v="75350"/>
    <n v="18523"/>
    <n v="20964"/>
    <n v="80189"/>
    <n v="86883"/>
    <n v="176650"/>
    <n v="5888.333333333333"/>
    <n v="183197"/>
    <n v="6106.5666666666666"/>
    <n v="3547"/>
    <n v="4100"/>
    <n v="176650"/>
    <n v="183197"/>
    <m/>
    <m/>
    <m/>
    <m/>
    <m/>
    <m/>
    <m/>
    <m/>
    <n v="0"/>
    <n v="0"/>
    <n v="0"/>
    <n v="0"/>
    <m/>
    <m/>
    <n v="0"/>
    <n v="0"/>
    <m/>
    <m/>
    <n v="17771"/>
    <n v="18622"/>
    <n v="4875"/>
    <n v="4421"/>
    <n v="18741"/>
    <n v="19268"/>
    <n v="41387"/>
    <n v="1724.4583333333333"/>
    <n v="42311"/>
    <n v="1762.9583333333333"/>
    <n v="7612.7916666666661"/>
    <n v="7869.5249999999996"/>
  </r>
  <r>
    <x v="9"/>
    <s v="University of North Carolina at Wilmington"/>
    <n v="199218"/>
    <x v="2"/>
    <s v="sem"/>
    <s v="sem"/>
    <m/>
    <m/>
    <n v="141594"/>
    <n v="145664"/>
    <n v="27182"/>
    <n v="27224"/>
    <n v="157835"/>
    <n v="161748"/>
    <n v="326611"/>
    <n v="10887.033333333333"/>
    <n v="334636"/>
    <n v="11154.533333333333"/>
    <n v="646"/>
    <n v="2196"/>
    <n v="326611"/>
    <n v="334636"/>
    <m/>
    <m/>
    <m/>
    <m/>
    <m/>
    <m/>
    <m/>
    <m/>
    <n v="0"/>
    <n v="0"/>
    <n v="0"/>
    <n v="0"/>
    <m/>
    <m/>
    <n v="0"/>
    <n v="0"/>
    <m/>
    <m/>
    <n v="8058"/>
    <n v="9003"/>
    <n v="2687"/>
    <n v="2717"/>
    <n v="9585"/>
    <n v="9743"/>
    <n v="20330"/>
    <n v="847.08333333333337"/>
    <n v="21463"/>
    <n v="894.29166666666663"/>
    <n v="11734.116666666667"/>
    <n v="12048.824999999999"/>
  </r>
  <r>
    <x v="9"/>
    <s v="Western Carolina University "/>
    <n v="200004"/>
    <x v="2"/>
    <s v="sem"/>
    <s v="sem"/>
    <m/>
    <m/>
    <n v="89807"/>
    <n v="88670"/>
    <n v="15087"/>
    <n v="16576"/>
    <n v="95088"/>
    <n v="100125"/>
    <n v="199982"/>
    <n v="6666.0666666666666"/>
    <n v="205371"/>
    <n v="6845.7"/>
    <n v="0"/>
    <n v="0"/>
    <n v="199982"/>
    <n v="205371"/>
    <m/>
    <m/>
    <m/>
    <m/>
    <m/>
    <m/>
    <m/>
    <m/>
    <n v="0"/>
    <n v="0"/>
    <n v="0"/>
    <n v="0"/>
    <m/>
    <m/>
    <n v="0"/>
    <n v="0"/>
    <m/>
    <m/>
    <n v="12008"/>
    <n v="12427"/>
    <n v="6787"/>
    <n v="6749"/>
    <n v="12709"/>
    <n v="13577"/>
    <n v="31504"/>
    <n v="1312.6666666666667"/>
    <n v="32753"/>
    <n v="1364.7083333333333"/>
    <n v="7978.7333333333336"/>
    <n v="8210.4083333333328"/>
  </r>
  <r>
    <x v="9"/>
    <s v="Fayetteville State University "/>
    <n v="198543"/>
    <x v="3"/>
    <s v="sem"/>
    <s v="sem"/>
    <m/>
    <m/>
    <n v="76566"/>
    <n v="64339"/>
    <n v="20365"/>
    <n v="20023"/>
    <n v="70479"/>
    <n v="70752"/>
    <n v="167410"/>
    <n v="5580.333333333333"/>
    <n v="155114"/>
    <n v="5170.4666666666662"/>
    <n v="1605"/>
    <n v="2360"/>
    <n v="167410"/>
    <n v="155114"/>
    <m/>
    <m/>
    <m/>
    <m/>
    <m/>
    <m/>
    <m/>
    <m/>
    <n v="0"/>
    <n v="0"/>
    <n v="0"/>
    <n v="0"/>
    <m/>
    <m/>
    <n v="0"/>
    <n v="0"/>
    <m/>
    <m/>
    <n v="5339"/>
    <n v="3862"/>
    <n v="1429"/>
    <n v="1134"/>
    <n v="4546"/>
    <n v="4060"/>
    <n v="11314"/>
    <n v="471.41666666666669"/>
    <n v="9056"/>
    <n v="377.33333333333331"/>
    <n v="6051.75"/>
    <n v="5547.7999999999993"/>
  </r>
  <r>
    <x v="9"/>
    <s v="University of North Carolina at Pembroke"/>
    <n v="199281"/>
    <x v="4"/>
    <s v="sem"/>
    <s v="sem"/>
    <m/>
    <m/>
    <n v="61635"/>
    <n v="65620"/>
    <n v="15046"/>
    <n v="16532"/>
    <n v="70251"/>
    <n v="75403"/>
    <n v="146932"/>
    <n v="4897.7333333333336"/>
    <n v="157555"/>
    <n v="5251.833333333333"/>
    <n v="0"/>
    <n v="0"/>
    <n v="146932"/>
    <n v="157555"/>
    <m/>
    <m/>
    <m/>
    <m/>
    <m/>
    <m/>
    <m/>
    <m/>
    <n v="0"/>
    <n v="0"/>
    <n v="0"/>
    <n v="0"/>
    <m/>
    <m/>
    <n v="0"/>
    <n v="0"/>
    <m/>
    <m/>
    <n v="3669"/>
    <n v="3914"/>
    <n v="2682"/>
    <n v="2779"/>
    <n v="3744"/>
    <n v="4171"/>
    <n v="10095"/>
    <n v="420.625"/>
    <n v="10864"/>
    <n v="452.66666666666669"/>
    <n v="5318.3583333333336"/>
    <n v="5704.5"/>
  </r>
  <r>
    <x v="9"/>
    <s v="Winston-Salem State University "/>
    <n v="199999"/>
    <x v="4"/>
    <s v="sem"/>
    <s v="sem"/>
    <m/>
    <m/>
    <n v="73028"/>
    <n v="81060"/>
    <n v="10745"/>
    <n v="12852"/>
    <n v="84020"/>
    <n v="83257"/>
    <n v="167793"/>
    <n v="5593.1"/>
    <n v="177169"/>
    <n v="5905.6333333333332"/>
    <n v="0"/>
    <n v="0"/>
    <n v="167793"/>
    <n v="177169"/>
    <m/>
    <m/>
    <m/>
    <m/>
    <m/>
    <m/>
    <m/>
    <m/>
    <n v="0"/>
    <n v="0"/>
    <n v="0"/>
    <n v="0"/>
    <m/>
    <m/>
    <n v="0"/>
    <n v="0"/>
    <m/>
    <m/>
    <n v="3404"/>
    <n v="4070"/>
    <n v="1310"/>
    <n v="1885"/>
    <n v="4297"/>
    <n v="4240"/>
    <n v="9011"/>
    <n v="375.45833333333331"/>
    <n v="10195"/>
    <n v="424.79166666666669"/>
    <n v="5968.5583333333334"/>
    <n v="6330.4250000000002"/>
  </r>
  <r>
    <x v="9"/>
    <s v="Elizabeth City State University "/>
    <n v="198507"/>
    <x v="5"/>
    <s v="sem"/>
    <s v="sem"/>
    <m/>
    <m/>
    <n v="38820"/>
    <n v="41192"/>
    <n v="6511"/>
    <n v="8284"/>
    <n v="43790"/>
    <n v="46511"/>
    <n v="89121"/>
    <n v="2970.7"/>
    <n v="95987"/>
    <n v="3199.5666666666666"/>
    <n v="0"/>
    <n v="0"/>
    <n v="89121"/>
    <n v="95987"/>
    <m/>
    <m/>
    <m/>
    <m/>
    <m/>
    <m/>
    <m/>
    <m/>
    <n v="0"/>
    <n v="0"/>
    <n v="0"/>
    <n v="0"/>
    <m/>
    <m/>
    <n v="0"/>
    <n v="0"/>
    <m/>
    <m/>
    <n v="344"/>
    <n v="392"/>
    <n v="246"/>
    <n v="240"/>
    <n v="291"/>
    <n v="319"/>
    <n v="881"/>
    <n v="36.708333333333336"/>
    <n v="951"/>
    <n v="39.625"/>
    <n v="3007.4083333333333"/>
    <n v="3239.1916666666666"/>
  </r>
  <r>
    <x v="9"/>
    <s v="University of North Carolina at Asheville"/>
    <n v="199111"/>
    <x v="5"/>
    <s v="sem"/>
    <s v="sem"/>
    <m/>
    <m/>
    <n v="42829"/>
    <n v="43880"/>
    <n v="3902"/>
    <n v="4513"/>
    <n v="46290"/>
    <n v="49557"/>
    <n v="93021"/>
    <n v="3100.7"/>
    <n v="97950"/>
    <n v="3265"/>
    <n v="0"/>
    <n v="90"/>
    <n v="93021"/>
    <n v="97950"/>
    <m/>
    <m/>
    <m/>
    <m/>
    <m/>
    <m/>
    <m/>
    <m/>
    <n v="0"/>
    <n v="0"/>
    <n v="0"/>
    <n v="0"/>
    <m/>
    <m/>
    <n v="0"/>
    <n v="0"/>
    <m/>
    <m/>
    <n v="125"/>
    <n v="159"/>
    <n v="6"/>
    <n v="35"/>
    <n v="159"/>
    <n v="221"/>
    <n v="290"/>
    <n v="12.083333333333334"/>
    <n v="415"/>
    <n v="17.291666666666668"/>
    <n v="3112.7833333333333"/>
    <n v="3282.2916666666665"/>
  </r>
  <r>
    <x v="9"/>
    <s v="Asheville-Buncombe Technical Community College"/>
    <n v="197887"/>
    <x v="6"/>
    <s v="sem"/>
    <s v="sem"/>
    <m/>
    <m/>
    <n v="86010"/>
    <n v="89550"/>
    <n v="28560"/>
    <n v="30960"/>
    <n v="93210"/>
    <n v="102030"/>
    <n v="207780"/>
    <n v="6926"/>
    <n v="222540"/>
    <n v="7418"/>
    <n v="17888.099999999999"/>
    <n v="17608.5"/>
    <n v="207780"/>
    <n v="222540"/>
    <m/>
    <m/>
    <m/>
    <m/>
    <m/>
    <m/>
    <m/>
    <m/>
    <n v="0"/>
    <n v="0"/>
    <n v="0"/>
    <n v="0"/>
    <m/>
    <m/>
    <n v="0"/>
    <n v="0"/>
    <m/>
    <m/>
    <m/>
    <m/>
    <m/>
    <m/>
    <m/>
    <m/>
    <n v="0"/>
    <n v="0"/>
    <n v="0"/>
    <n v="0"/>
    <n v="6926"/>
    <n v="7418"/>
  </r>
  <r>
    <x v="9"/>
    <s v="Cape Fear Community College"/>
    <n v="198154"/>
    <x v="6"/>
    <s v="sem"/>
    <s v="sem"/>
    <m/>
    <m/>
    <n v="103050"/>
    <n v="114720"/>
    <n v="27450"/>
    <n v="32520"/>
    <n v="114660"/>
    <n v="131040"/>
    <n v="245160"/>
    <n v="8172"/>
    <n v="278280"/>
    <n v="9276"/>
    <n v="6852.3"/>
    <n v="7172.7"/>
    <n v="245160"/>
    <n v="278280"/>
    <m/>
    <m/>
    <m/>
    <m/>
    <m/>
    <m/>
    <m/>
    <m/>
    <n v="0"/>
    <n v="0"/>
    <n v="0"/>
    <n v="0"/>
    <m/>
    <m/>
    <n v="0"/>
    <n v="0"/>
    <m/>
    <m/>
    <m/>
    <m/>
    <m/>
    <m/>
    <m/>
    <m/>
    <n v="0"/>
    <n v="0"/>
    <n v="0"/>
    <n v="0"/>
    <n v="8172"/>
    <n v="9276"/>
  </r>
  <r>
    <x v="9"/>
    <s v="Catawba Valley Community College"/>
    <n v="198233"/>
    <x v="6"/>
    <s v="sem"/>
    <s v="sem"/>
    <m/>
    <m/>
    <n v="65550"/>
    <n v="68340"/>
    <n v="25620"/>
    <n v="27150"/>
    <n v="68910"/>
    <n v="79140"/>
    <n v="160080"/>
    <n v="5336"/>
    <n v="174630"/>
    <n v="5821"/>
    <n v="8585.4"/>
    <n v="9973.7999999999993"/>
    <n v="160080"/>
    <n v="174630"/>
    <m/>
    <m/>
    <m/>
    <m/>
    <m/>
    <m/>
    <m/>
    <m/>
    <n v="0"/>
    <n v="0"/>
    <n v="0"/>
    <n v="0"/>
    <m/>
    <m/>
    <n v="0"/>
    <n v="0"/>
    <m/>
    <m/>
    <m/>
    <m/>
    <m/>
    <m/>
    <m/>
    <m/>
    <n v="0"/>
    <n v="0"/>
    <n v="0"/>
    <n v="0"/>
    <n v="5336"/>
    <n v="5821"/>
  </r>
  <r>
    <x v="9"/>
    <s v="Central Carolina Commuity College"/>
    <n v="198251"/>
    <x v="6"/>
    <s v="sem"/>
    <s v="sem"/>
    <m/>
    <m/>
    <n v="68550"/>
    <n v="74250"/>
    <n v="23610"/>
    <n v="25110"/>
    <n v="77370"/>
    <n v="88380"/>
    <n v="169530"/>
    <n v="5651"/>
    <n v="187740"/>
    <n v="6258"/>
    <n v="9146.4"/>
    <n v="9861.6"/>
    <n v="169530"/>
    <n v="187740"/>
    <m/>
    <m/>
    <m/>
    <m/>
    <m/>
    <m/>
    <m/>
    <m/>
    <n v="0"/>
    <n v="0"/>
    <n v="0"/>
    <n v="0"/>
    <m/>
    <m/>
    <n v="0"/>
    <n v="0"/>
    <m/>
    <m/>
    <m/>
    <m/>
    <m/>
    <m/>
    <m/>
    <m/>
    <n v="0"/>
    <n v="0"/>
    <n v="0"/>
    <n v="0"/>
    <n v="5651"/>
    <n v="6258"/>
  </r>
  <r>
    <x v="9"/>
    <s v="Central Piedmont Community College "/>
    <n v="198260"/>
    <x v="6"/>
    <s v="sem"/>
    <s v="sem"/>
    <m/>
    <m/>
    <n v="206700"/>
    <n v="225150"/>
    <n v="57900"/>
    <n v="70050"/>
    <n v="223560"/>
    <n v="241590"/>
    <n v="488160"/>
    <n v="16272"/>
    <n v="536790"/>
    <n v="17893"/>
    <n v="10854.6"/>
    <n v="9685.5"/>
    <n v="488160"/>
    <n v="536790"/>
    <m/>
    <m/>
    <m/>
    <m/>
    <m/>
    <m/>
    <m/>
    <m/>
    <n v="0"/>
    <n v="0"/>
    <n v="0"/>
    <n v="0"/>
    <m/>
    <m/>
    <n v="0"/>
    <n v="0"/>
    <m/>
    <m/>
    <m/>
    <m/>
    <m/>
    <m/>
    <m/>
    <m/>
    <n v="0"/>
    <n v="0"/>
    <n v="0"/>
    <n v="0"/>
    <n v="16272"/>
    <n v="17893"/>
  </r>
  <r>
    <x v="9"/>
    <s v="Durham Technical Community College"/>
    <n v="198455"/>
    <x v="6"/>
    <s v="sem"/>
    <s v="sem"/>
    <m/>
    <m/>
    <n v="61440"/>
    <n v="69780"/>
    <n v="25140"/>
    <n v="22080"/>
    <n v="67980"/>
    <n v="73320"/>
    <n v="154560"/>
    <n v="5152"/>
    <n v="165180"/>
    <n v="5506"/>
    <n v="3567.2999999999997"/>
    <n v="3501.2999999999997"/>
    <n v="154560"/>
    <n v="165180"/>
    <m/>
    <m/>
    <m/>
    <m/>
    <m/>
    <m/>
    <m/>
    <m/>
    <n v="0"/>
    <n v="0"/>
    <n v="0"/>
    <n v="0"/>
    <m/>
    <m/>
    <n v="0"/>
    <n v="0"/>
    <m/>
    <m/>
    <m/>
    <m/>
    <m/>
    <m/>
    <m/>
    <m/>
    <n v="0"/>
    <n v="0"/>
    <n v="0"/>
    <n v="0"/>
    <n v="5152"/>
    <n v="5506"/>
  </r>
  <r>
    <x v="9"/>
    <s v="Fayetteville Technical Community College"/>
    <n v="198534"/>
    <x v="6"/>
    <s v="sem"/>
    <s v="sem"/>
    <m/>
    <m/>
    <n v="142590"/>
    <n v="161700"/>
    <n v="51810"/>
    <n v="51630"/>
    <n v="156180"/>
    <n v="166290"/>
    <n v="350580"/>
    <n v="11686"/>
    <n v="379620"/>
    <n v="12654"/>
    <n v="8658.9"/>
    <n v="8419.8000000000011"/>
    <n v="350580"/>
    <n v="379620"/>
    <m/>
    <m/>
    <m/>
    <m/>
    <m/>
    <m/>
    <m/>
    <m/>
    <n v="0"/>
    <n v="0"/>
    <n v="0"/>
    <n v="0"/>
    <m/>
    <m/>
    <n v="0"/>
    <n v="0"/>
    <m/>
    <m/>
    <m/>
    <m/>
    <m/>
    <m/>
    <m/>
    <m/>
    <n v="0"/>
    <n v="0"/>
    <n v="0"/>
    <n v="0"/>
    <n v="11686"/>
    <n v="12654"/>
  </r>
  <r>
    <x v="9"/>
    <s v="Forsyth Technical Community College"/>
    <n v="198552"/>
    <x v="6"/>
    <s v="sem"/>
    <s v="sem"/>
    <m/>
    <m/>
    <n v="95460"/>
    <n v="109710"/>
    <n v="35550"/>
    <n v="40890"/>
    <n v="108150"/>
    <n v="124200"/>
    <n v="239160"/>
    <n v="7972"/>
    <n v="274800"/>
    <n v="9160"/>
    <n v="4021.5000000000005"/>
    <n v="5413.5"/>
    <n v="239160"/>
    <n v="274800"/>
    <m/>
    <m/>
    <m/>
    <m/>
    <m/>
    <m/>
    <m/>
    <m/>
    <n v="0"/>
    <n v="0"/>
    <n v="0"/>
    <n v="0"/>
    <m/>
    <m/>
    <n v="0"/>
    <n v="0"/>
    <m/>
    <m/>
    <m/>
    <m/>
    <m/>
    <m/>
    <m/>
    <m/>
    <n v="0"/>
    <n v="0"/>
    <n v="0"/>
    <n v="0"/>
    <n v="7972"/>
    <n v="9160"/>
  </r>
  <r>
    <x v="9"/>
    <s v="Guilford Technical Community College"/>
    <n v="198622"/>
    <x v="6"/>
    <s v="sem"/>
    <s v="sem"/>
    <m/>
    <m/>
    <n v="136500"/>
    <n v="159450"/>
    <n v="39330"/>
    <n v="47670"/>
    <n v="161400"/>
    <n v="191430"/>
    <n v="337230"/>
    <n v="11241"/>
    <n v="398550"/>
    <n v="13285"/>
    <n v="2956.2000000000003"/>
    <n v="3940.8"/>
    <n v="337230"/>
    <n v="398550"/>
    <m/>
    <m/>
    <m/>
    <m/>
    <m/>
    <m/>
    <m/>
    <m/>
    <n v="0"/>
    <n v="0"/>
    <n v="0"/>
    <n v="0"/>
    <m/>
    <m/>
    <n v="0"/>
    <n v="0"/>
    <m/>
    <m/>
    <m/>
    <m/>
    <m/>
    <m/>
    <m/>
    <m/>
    <n v="0"/>
    <n v="0"/>
    <n v="0"/>
    <n v="0"/>
    <n v="11241"/>
    <n v="13285"/>
  </r>
  <r>
    <x v="9"/>
    <s v="Pitt Community College"/>
    <n v="199333"/>
    <x v="6"/>
    <s v="sem"/>
    <s v="sem"/>
    <m/>
    <m/>
    <n v="86280"/>
    <n v="94350"/>
    <n v="27330"/>
    <n v="33000"/>
    <n v="92940"/>
    <n v="104100"/>
    <n v="206550"/>
    <n v="6885"/>
    <n v="231450"/>
    <n v="7715"/>
    <n v="5159.3999999999996"/>
    <n v="6342.9000000000005"/>
    <n v="206550"/>
    <n v="231450"/>
    <m/>
    <m/>
    <m/>
    <m/>
    <m/>
    <m/>
    <m/>
    <m/>
    <n v="0"/>
    <n v="0"/>
    <n v="0"/>
    <n v="0"/>
    <m/>
    <m/>
    <n v="0"/>
    <n v="0"/>
    <m/>
    <m/>
    <m/>
    <m/>
    <m/>
    <m/>
    <m/>
    <m/>
    <n v="0"/>
    <n v="0"/>
    <n v="0"/>
    <n v="0"/>
    <n v="6885"/>
    <n v="7715"/>
  </r>
  <r>
    <x v="9"/>
    <s v="Rowan-Cabarrus Community College"/>
    <n v="199494"/>
    <x v="6"/>
    <s v="sem"/>
    <s v="sem"/>
    <m/>
    <m/>
    <n v="70020"/>
    <n v="84330"/>
    <n v="22560"/>
    <n v="33180"/>
    <n v="81900"/>
    <n v="102630"/>
    <n v="174480"/>
    <n v="5816"/>
    <n v="220140"/>
    <n v="7338"/>
    <n v="5355.2999999999993"/>
    <n v="5910"/>
    <n v="174480"/>
    <n v="220140"/>
    <m/>
    <m/>
    <m/>
    <m/>
    <m/>
    <m/>
    <m/>
    <m/>
    <n v="0"/>
    <n v="0"/>
    <n v="0"/>
    <n v="0"/>
    <m/>
    <m/>
    <n v="0"/>
    <n v="0"/>
    <m/>
    <m/>
    <m/>
    <m/>
    <m/>
    <m/>
    <m/>
    <m/>
    <n v="0"/>
    <n v="0"/>
    <n v="0"/>
    <n v="0"/>
    <n v="5816"/>
    <n v="7338"/>
  </r>
  <r>
    <x v="9"/>
    <s v="Wake Technical Community College"/>
    <n v="199856"/>
    <x v="6"/>
    <s v="sem"/>
    <s v="sem"/>
    <m/>
    <m/>
    <n v="172110"/>
    <n v="191130"/>
    <n v="60240"/>
    <n v="61230"/>
    <n v="197040"/>
    <n v="208620"/>
    <n v="429390"/>
    <n v="14313"/>
    <n v="460980"/>
    <n v="15366"/>
    <n v="5808.9"/>
    <n v="5835.9"/>
    <n v="429390"/>
    <n v="460980"/>
    <m/>
    <m/>
    <m/>
    <m/>
    <m/>
    <m/>
    <m/>
    <m/>
    <n v="0"/>
    <n v="0"/>
    <n v="0"/>
    <n v="0"/>
    <m/>
    <m/>
    <n v="0"/>
    <n v="0"/>
    <m/>
    <m/>
    <m/>
    <m/>
    <m/>
    <m/>
    <m/>
    <m/>
    <n v="0"/>
    <n v="0"/>
    <n v="0"/>
    <n v="0"/>
    <n v="14313"/>
    <n v="15366"/>
  </r>
  <r>
    <x v="9"/>
    <s v="Alamance Community College"/>
    <n v="199786"/>
    <x v="7"/>
    <s v="sem"/>
    <s v="sem"/>
    <m/>
    <m/>
    <n v="55770"/>
    <n v="63420"/>
    <n v="16920"/>
    <n v="20760"/>
    <n v="61560"/>
    <n v="72870"/>
    <n v="134250"/>
    <n v="4475"/>
    <n v="157050"/>
    <n v="5235"/>
    <n v="7426.5"/>
    <n v="7848.9"/>
    <n v="134250"/>
    <n v="157050"/>
    <m/>
    <m/>
    <m/>
    <m/>
    <m/>
    <m/>
    <m/>
    <m/>
    <n v="0"/>
    <n v="0"/>
    <n v="0"/>
    <n v="0"/>
    <m/>
    <m/>
    <n v="0"/>
    <n v="0"/>
    <m/>
    <m/>
    <m/>
    <m/>
    <m/>
    <m/>
    <m/>
    <m/>
    <n v="0"/>
    <n v="0"/>
    <n v="0"/>
    <n v="0"/>
    <n v="4475"/>
    <n v="5235"/>
  </r>
  <r>
    <x v="9"/>
    <s v="Blue Ridge Community College"/>
    <n v="198039"/>
    <x v="7"/>
    <s v="sem"/>
    <s v="sem"/>
    <m/>
    <m/>
    <n v="28110"/>
    <n v="31650"/>
    <n v="9180"/>
    <n v="11280"/>
    <n v="31890"/>
    <n v="39210"/>
    <n v="69180"/>
    <n v="2306"/>
    <n v="82140"/>
    <n v="2738"/>
    <n v="4549.8"/>
    <n v="4354.8"/>
    <n v="69180"/>
    <n v="82140"/>
    <m/>
    <m/>
    <m/>
    <m/>
    <m/>
    <m/>
    <m/>
    <m/>
    <n v="0"/>
    <n v="0"/>
    <n v="0"/>
    <n v="0"/>
    <m/>
    <m/>
    <n v="0"/>
    <n v="0"/>
    <m/>
    <m/>
    <m/>
    <m/>
    <m/>
    <m/>
    <m/>
    <m/>
    <n v="0"/>
    <n v="0"/>
    <n v="0"/>
    <n v="0"/>
    <n v="2306"/>
    <n v="2738"/>
  </r>
  <r>
    <x v="9"/>
    <s v="Caldwell Community College &amp; Technical Institute"/>
    <n v="198118"/>
    <x v="7"/>
    <s v="sem"/>
    <s v="sem"/>
    <m/>
    <m/>
    <n v="55950"/>
    <n v="60180"/>
    <n v="16770"/>
    <n v="20730"/>
    <n v="60630"/>
    <n v="72360"/>
    <n v="133350"/>
    <n v="4445"/>
    <n v="153270"/>
    <n v="5109"/>
    <n v="8369.1"/>
    <n v="9591.9000000000015"/>
    <n v="133350"/>
    <n v="153270"/>
    <m/>
    <m/>
    <m/>
    <m/>
    <m/>
    <m/>
    <m/>
    <m/>
    <n v="0"/>
    <n v="0"/>
    <n v="0"/>
    <n v="0"/>
    <m/>
    <m/>
    <n v="0"/>
    <n v="0"/>
    <m/>
    <m/>
    <m/>
    <m/>
    <m/>
    <m/>
    <m/>
    <m/>
    <n v="0"/>
    <n v="0"/>
    <n v="0"/>
    <n v="0"/>
    <n v="4445"/>
    <n v="5109"/>
  </r>
  <r>
    <x v="9"/>
    <s v="Cleveland Community College"/>
    <n v="198321"/>
    <x v="7"/>
    <s v="sem"/>
    <s v="sem"/>
    <m/>
    <m/>
    <n v="42000"/>
    <n v="49350"/>
    <n v="9210"/>
    <n v="12660"/>
    <n v="47580"/>
    <n v="57840"/>
    <n v="98790"/>
    <n v="3293"/>
    <n v="119850"/>
    <n v="3995"/>
    <n v="12338.099999999999"/>
    <n v="15212.1"/>
    <n v="98790"/>
    <n v="119850"/>
    <m/>
    <m/>
    <m/>
    <m/>
    <m/>
    <m/>
    <m/>
    <m/>
    <n v="0"/>
    <n v="0"/>
    <n v="0"/>
    <n v="0"/>
    <m/>
    <m/>
    <n v="0"/>
    <n v="0"/>
    <m/>
    <m/>
    <m/>
    <m/>
    <m/>
    <m/>
    <m/>
    <m/>
    <n v="0"/>
    <n v="0"/>
    <n v="0"/>
    <n v="0"/>
    <n v="3293"/>
    <n v="3995"/>
  </r>
  <r>
    <x v="9"/>
    <s v="Coastal Carolina Community College "/>
    <n v="198330"/>
    <x v="7"/>
    <s v="sem"/>
    <s v="sem"/>
    <m/>
    <m/>
    <n v="60150"/>
    <n v="63180"/>
    <n v="27090"/>
    <n v="28350"/>
    <n v="65280"/>
    <n v="70500"/>
    <n v="152520"/>
    <n v="5084"/>
    <n v="162030"/>
    <n v="5401"/>
    <n v="1892.3999999999999"/>
    <n v="1627.5"/>
    <n v="152520"/>
    <n v="162030"/>
    <m/>
    <m/>
    <m/>
    <m/>
    <m/>
    <m/>
    <m/>
    <m/>
    <n v="0"/>
    <n v="0"/>
    <n v="0"/>
    <n v="0"/>
    <m/>
    <m/>
    <n v="0"/>
    <n v="0"/>
    <m/>
    <m/>
    <m/>
    <m/>
    <m/>
    <m/>
    <m/>
    <m/>
    <n v="0"/>
    <n v="0"/>
    <n v="0"/>
    <n v="0"/>
    <n v="5084"/>
    <n v="5401"/>
  </r>
  <r>
    <x v="9"/>
    <s v="College of the Albemarle"/>
    <n v="197814"/>
    <x v="7"/>
    <s v="sem"/>
    <s v="sem"/>
    <m/>
    <m/>
    <n v="33570"/>
    <n v="34410"/>
    <n v="6720"/>
    <n v="6480"/>
    <n v="35400"/>
    <n v="39540"/>
    <n v="75690"/>
    <n v="2523"/>
    <n v="80430"/>
    <n v="2681"/>
    <n v="4223.3999999999996"/>
    <n v="4193.7"/>
    <n v="75690"/>
    <n v="80430"/>
    <m/>
    <m/>
    <m/>
    <m/>
    <m/>
    <m/>
    <m/>
    <m/>
    <n v="0"/>
    <n v="0"/>
    <n v="0"/>
    <n v="0"/>
    <m/>
    <m/>
    <n v="0"/>
    <n v="0"/>
    <m/>
    <m/>
    <m/>
    <m/>
    <m/>
    <m/>
    <m/>
    <m/>
    <n v="0"/>
    <n v="0"/>
    <n v="0"/>
    <n v="0"/>
    <n v="2523"/>
    <n v="2681"/>
  </r>
  <r>
    <x v="9"/>
    <s v="Craven Community College "/>
    <n v="198367"/>
    <x v="7"/>
    <s v="sem"/>
    <s v="sem"/>
    <m/>
    <m/>
    <n v="38190"/>
    <n v="42450"/>
    <n v="11640"/>
    <n v="15180"/>
    <n v="42090"/>
    <n v="46350"/>
    <n v="91920"/>
    <n v="3064"/>
    <n v="103980"/>
    <n v="3466"/>
    <n v="3432.9"/>
    <n v="3492.2999999999997"/>
    <n v="91920"/>
    <n v="103980"/>
    <m/>
    <m/>
    <m/>
    <m/>
    <m/>
    <m/>
    <m/>
    <m/>
    <n v="0"/>
    <n v="0"/>
    <n v="0"/>
    <n v="0"/>
    <m/>
    <m/>
    <n v="0"/>
    <n v="0"/>
    <m/>
    <m/>
    <m/>
    <m/>
    <m/>
    <m/>
    <m/>
    <m/>
    <n v="0"/>
    <n v="0"/>
    <n v="0"/>
    <n v="0"/>
    <n v="3064"/>
    <n v="3466"/>
  </r>
  <r>
    <x v="9"/>
    <s v="Davidson County Community College "/>
    <n v="198376"/>
    <x v="7"/>
    <s v="sem"/>
    <s v="sem"/>
    <m/>
    <m/>
    <n v="51870"/>
    <n v="58680"/>
    <n v="17490"/>
    <n v="20670"/>
    <n v="55740"/>
    <n v="63780"/>
    <n v="125100"/>
    <n v="4170"/>
    <n v="143130"/>
    <n v="4771"/>
    <n v="7013.4"/>
    <n v="7548.9"/>
    <n v="125100"/>
    <n v="143130"/>
    <m/>
    <m/>
    <m/>
    <m/>
    <m/>
    <m/>
    <m/>
    <m/>
    <n v="0"/>
    <n v="0"/>
    <n v="0"/>
    <n v="0"/>
    <m/>
    <m/>
    <n v="0"/>
    <n v="0"/>
    <m/>
    <m/>
    <m/>
    <m/>
    <m/>
    <m/>
    <m/>
    <m/>
    <n v="0"/>
    <n v="0"/>
    <n v="0"/>
    <n v="0"/>
    <n v="4170"/>
    <n v="4771"/>
  </r>
  <r>
    <x v="9"/>
    <s v="Edgecombe Community College"/>
    <n v="198491"/>
    <x v="7"/>
    <s v="sem"/>
    <s v="sem"/>
    <m/>
    <m/>
    <n v="31140"/>
    <n v="34800"/>
    <n v="10470"/>
    <n v="12990"/>
    <n v="34230"/>
    <n v="44880"/>
    <n v="75840"/>
    <n v="2528"/>
    <n v="92670"/>
    <n v="3089"/>
    <n v="4432.5"/>
    <n v="4034.1"/>
    <n v="75840"/>
    <n v="92670"/>
    <m/>
    <m/>
    <m/>
    <m/>
    <m/>
    <m/>
    <m/>
    <m/>
    <n v="0"/>
    <n v="0"/>
    <n v="0"/>
    <n v="0"/>
    <m/>
    <m/>
    <n v="0"/>
    <n v="0"/>
    <m/>
    <m/>
    <m/>
    <m/>
    <m/>
    <m/>
    <m/>
    <m/>
    <n v="0"/>
    <n v="0"/>
    <n v="0"/>
    <n v="0"/>
    <n v="2528"/>
    <n v="3089"/>
  </r>
  <r>
    <x v="9"/>
    <s v="Gaston College "/>
    <n v="198570"/>
    <x v="7"/>
    <s v="sem"/>
    <s v="sem"/>
    <m/>
    <m/>
    <n v="66090"/>
    <n v="81510"/>
    <n v="17160"/>
    <n v="24180"/>
    <n v="74100"/>
    <n v="92490"/>
    <n v="157350"/>
    <n v="5245"/>
    <n v="198180"/>
    <n v="6606"/>
    <n v="8208.6"/>
    <n v="8275.1999999999989"/>
    <n v="157350"/>
    <n v="198180"/>
    <m/>
    <m/>
    <m/>
    <m/>
    <m/>
    <m/>
    <m/>
    <m/>
    <n v="0"/>
    <n v="0"/>
    <n v="0"/>
    <n v="0"/>
    <m/>
    <m/>
    <n v="0"/>
    <n v="0"/>
    <m/>
    <m/>
    <m/>
    <m/>
    <m/>
    <m/>
    <m/>
    <m/>
    <n v="0"/>
    <n v="0"/>
    <n v="0"/>
    <n v="0"/>
    <n v="5245"/>
    <n v="6606"/>
  </r>
  <r>
    <x v="9"/>
    <s v="Haywood Community College"/>
    <n v="198668"/>
    <x v="7"/>
    <s v="sem"/>
    <s v="sem"/>
    <m/>
    <m/>
    <n v="26010"/>
    <n v="28890"/>
    <n v="6840"/>
    <n v="7800"/>
    <n v="28170"/>
    <n v="31890"/>
    <n v="61020"/>
    <n v="2034"/>
    <n v="68580"/>
    <n v="2286"/>
    <n v="8779.1999999999989"/>
    <n v="8092.5"/>
    <n v="61020"/>
    <n v="68580"/>
    <m/>
    <m/>
    <m/>
    <m/>
    <m/>
    <m/>
    <m/>
    <m/>
    <n v="0"/>
    <n v="0"/>
    <n v="0"/>
    <n v="0"/>
    <m/>
    <m/>
    <n v="0"/>
    <n v="0"/>
    <m/>
    <m/>
    <m/>
    <m/>
    <m/>
    <m/>
    <m/>
    <m/>
    <n v="0"/>
    <n v="0"/>
    <n v="0"/>
    <n v="0"/>
    <n v="2034"/>
    <n v="2286"/>
  </r>
  <r>
    <x v="9"/>
    <s v="Isothermal Community College "/>
    <n v="198710"/>
    <x v="7"/>
    <s v="sem"/>
    <s v="sem"/>
    <m/>
    <m/>
    <n v="28710"/>
    <n v="37410"/>
    <n v="10710"/>
    <n v="13770"/>
    <n v="32820"/>
    <n v="38790"/>
    <n v="72240"/>
    <n v="2408"/>
    <n v="89970"/>
    <n v="2999"/>
    <n v="7627.7999999999993"/>
    <n v="8310.2999999999993"/>
    <n v="72240"/>
    <n v="89970"/>
    <m/>
    <m/>
    <m/>
    <m/>
    <m/>
    <m/>
    <m/>
    <m/>
    <n v="0"/>
    <n v="0"/>
    <n v="0"/>
    <n v="0"/>
    <m/>
    <m/>
    <n v="0"/>
    <n v="0"/>
    <m/>
    <m/>
    <m/>
    <m/>
    <m/>
    <m/>
    <m/>
    <m/>
    <n v="0"/>
    <n v="0"/>
    <n v="0"/>
    <n v="0"/>
    <n v="2408"/>
    <n v="2999"/>
  </r>
  <r>
    <x v="9"/>
    <s v="Johnston Community College"/>
    <n v="198774"/>
    <x v="7"/>
    <s v="sem"/>
    <s v="sem"/>
    <m/>
    <m/>
    <n v="59580"/>
    <n v="63450"/>
    <n v="13350"/>
    <n v="14310"/>
    <n v="62700"/>
    <n v="68880"/>
    <n v="135630"/>
    <n v="4521"/>
    <n v="146640"/>
    <n v="4888"/>
    <n v="15068.4"/>
    <n v="11942.699999999999"/>
    <n v="135630"/>
    <n v="146640"/>
    <m/>
    <m/>
    <m/>
    <m/>
    <m/>
    <m/>
    <m/>
    <m/>
    <n v="0"/>
    <n v="0"/>
    <n v="0"/>
    <n v="0"/>
    <m/>
    <m/>
    <n v="0"/>
    <n v="0"/>
    <m/>
    <m/>
    <m/>
    <m/>
    <m/>
    <m/>
    <m/>
    <m/>
    <n v="0"/>
    <n v="0"/>
    <n v="0"/>
    <n v="0"/>
    <n v="4521"/>
    <n v="4888"/>
  </r>
  <r>
    <x v="9"/>
    <s v="Lenoir Community College "/>
    <n v="198817"/>
    <x v="7"/>
    <s v="sem"/>
    <s v="sem"/>
    <m/>
    <m/>
    <n v="47910"/>
    <n v="53430"/>
    <n v="17970"/>
    <n v="20070"/>
    <n v="50040"/>
    <n v="59160"/>
    <n v="115920"/>
    <n v="3864"/>
    <n v="132660"/>
    <n v="4422"/>
    <n v="5747.7"/>
    <n v="8065.1999999999989"/>
    <n v="115920"/>
    <n v="132660"/>
    <m/>
    <m/>
    <m/>
    <m/>
    <m/>
    <m/>
    <m/>
    <m/>
    <n v="0"/>
    <n v="0"/>
    <n v="0"/>
    <n v="0"/>
    <m/>
    <m/>
    <n v="0"/>
    <n v="0"/>
    <m/>
    <m/>
    <m/>
    <m/>
    <m/>
    <m/>
    <m/>
    <m/>
    <n v="0"/>
    <n v="0"/>
    <n v="0"/>
    <n v="0"/>
    <n v="3864"/>
    <n v="4422"/>
  </r>
  <r>
    <x v="9"/>
    <s v="Mayland Community College"/>
    <n v="198914"/>
    <x v="7"/>
    <s v="sem"/>
    <s v="sem"/>
    <m/>
    <m/>
    <n v="26160"/>
    <n v="26610"/>
    <n v="8550"/>
    <n v="10650"/>
    <n v="26550"/>
    <n v="28230"/>
    <n v="61260"/>
    <n v="2042"/>
    <n v="65490"/>
    <n v="2183"/>
    <n v="7874.1"/>
    <n v="8694"/>
    <n v="61260"/>
    <n v="65490"/>
    <m/>
    <m/>
    <m/>
    <m/>
    <m/>
    <m/>
    <m/>
    <m/>
    <n v="0"/>
    <n v="0"/>
    <n v="0"/>
    <n v="0"/>
    <m/>
    <m/>
    <n v="0"/>
    <n v="0"/>
    <m/>
    <m/>
    <m/>
    <m/>
    <m/>
    <m/>
    <m/>
    <m/>
    <n v="0"/>
    <n v="0"/>
    <n v="0"/>
    <n v="0"/>
    <n v="2042"/>
    <n v="2183"/>
  </r>
  <r>
    <x v="9"/>
    <s v="Mitchell Community College "/>
    <n v="198987"/>
    <x v="7"/>
    <s v="sem"/>
    <s v="sem"/>
    <m/>
    <m/>
    <n v="34350"/>
    <n v="39090"/>
    <n v="9720"/>
    <n v="11310"/>
    <n v="38970"/>
    <n v="48000"/>
    <n v="83040"/>
    <n v="2768"/>
    <n v="98400"/>
    <n v="3280"/>
    <n v="3297.2999999999997"/>
    <n v="5328.9"/>
    <n v="83040"/>
    <n v="98400"/>
    <m/>
    <m/>
    <m/>
    <m/>
    <m/>
    <m/>
    <m/>
    <m/>
    <n v="0"/>
    <n v="0"/>
    <n v="0"/>
    <n v="0"/>
    <m/>
    <m/>
    <n v="0"/>
    <n v="0"/>
    <m/>
    <m/>
    <m/>
    <m/>
    <m/>
    <m/>
    <m/>
    <m/>
    <n v="0"/>
    <n v="0"/>
    <n v="0"/>
    <n v="0"/>
    <n v="2768"/>
    <n v="3280"/>
  </r>
  <r>
    <x v="9"/>
    <s v="Nash Community College"/>
    <n v="199087"/>
    <x v="7"/>
    <s v="sem"/>
    <s v="sem"/>
    <m/>
    <m/>
    <n v="35790"/>
    <n v="36030"/>
    <n v="8700"/>
    <n v="10080"/>
    <n v="38610"/>
    <n v="43380"/>
    <n v="83100"/>
    <n v="2770"/>
    <n v="89490"/>
    <n v="2983"/>
    <n v="6628.2"/>
    <n v="6581.7"/>
    <n v="83100"/>
    <n v="89490"/>
    <m/>
    <m/>
    <m/>
    <m/>
    <m/>
    <m/>
    <m/>
    <m/>
    <n v="0"/>
    <n v="0"/>
    <n v="0"/>
    <n v="0"/>
    <m/>
    <m/>
    <n v="0"/>
    <n v="0"/>
    <m/>
    <m/>
    <m/>
    <m/>
    <m/>
    <m/>
    <m/>
    <m/>
    <n v="0"/>
    <n v="0"/>
    <n v="0"/>
    <n v="0"/>
    <n v="2770"/>
    <n v="2983"/>
  </r>
  <r>
    <x v="9"/>
    <s v="Piedmont Community College"/>
    <n v="199324"/>
    <x v="7"/>
    <s v="sem"/>
    <s v="sem"/>
    <m/>
    <m/>
    <n v="37890"/>
    <n v="40620"/>
    <n v="8850"/>
    <n v="9270"/>
    <n v="39900"/>
    <n v="44130"/>
    <n v="86640"/>
    <n v="2888"/>
    <n v="94020"/>
    <n v="3134"/>
    <n v="14601.6"/>
    <n v="13070.1"/>
    <n v="86640"/>
    <n v="94020"/>
    <m/>
    <m/>
    <m/>
    <m/>
    <m/>
    <m/>
    <m/>
    <m/>
    <n v="0"/>
    <n v="0"/>
    <n v="0"/>
    <n v="0"/>
    <m/>
    <m/>
    <n v="0"/>
    <n v="0"/>
    <m/>
    <m/>
    <m/>
    <m/>
    <m/>
    <m/>
    <m/>
    <m/>
    <n v="0"/>
    <n v="0"/>
    <n v="0"/>
    <n v="0"/>
    <n v="2888"/>
    <n v="3134"/>
  </r>
  <r>
    <x v="9"/>
    <s v="Randolph Community College"/>
    <n v="199421"/>
    <x v="7"/>
    <s v="sem"/>
    <s v="sem"/>
    <m/>
    <m/>
    <n v="33210"/>
    <n v="37230"/>
    <n v="13980"/>
    <n v="14190"/>
    <n v="36690"/>
    <n v="41790"/>
    <n v="83880"/>
    <n v="2796"/>
    <n v="93210"/>
    <n v="3107"/>
    <n v="5223.8999999999996"/>
    <n v="6624.3"/>
    <n v="83880"/>
    <n v="93210"/>
    <m/>
    <m/>
    <m/>
    <m/>
    <m/>
    <m/>
    <m/>
    <m/>
    <n v="0"/>
    <n v="0"/>
    <n v="0"/>
    <n v="0"/>
    <m/>
    <m/>
    <n v="0"/>
    <n v="0"/>
    <m/>
    <m/>
    <m/>
    <m/>
    <m/>
    <m/>
    <m/>
    <m/>
    <n v="0"/>
    <n v="0"/>
    <n v="0"/>
    <n v="0"/>
    <n v="2796"/>
    <n v="3107"/>
  </r>
  <r>
    <x v="9"/>
    <s v="Richmond Community College"/>
    <n v="199449"/>
    <x v="7"/>
    <s v="sem"/>
    <s v="sem"/>
    <m/>
    <m/>
    <n v="28410"/>
    <n v="28920"/>
    <n v="9960"/>
    <n v="11040"/>
    <n v="29580"/>
    <n v="33480"/>
    <n v="67950"/>
    <n v="2265"/>
    <n v="73440"/>
    <n v="2448"/>
    <n v="1873.1999999999998"/>
    <n v="2317.5"/>
    <n v="67950"/>
    <n v="73440"/>
    <m/>
    <m/>
    <m/>
    <m/>
    <m/>
    <m/>
    <m/>
    <m/>
    <n v="0"/>
    <n v="0"/>
    <n v="0"/>
    <n v="0"/>
    <m/>
    <m/>
    <n v="0"/>
    <n v="0"/>
    <m/>
    <m/>
    <m/>
    <m/>
    <m/>
    <m/>
    <m/>
    <m/>
    <n v="0"/>
    <n v="0"/>
    <n v="0"/>
    <n v="0"/>
    <n v="2265"/>
    <n v="2448"/>
  </r>
  <r>
    <x v="9"/>
    <s v="Robeson Community College"/>
    <n v="199476"/>
    <x v="7"/>
    <s v="sem"/>
    <s v="sem"/>
    <m/>
    <m/>
    <n v="47250"/>
    <n v="50850"/>
    <n v="18420"/>
    <n v="19500"/>
    <n v="50850"/>
    <n v="55650"/>
    <n v="116520"/>
    <n v="3884"/>
    <n v="126000"/>
    <n v="4200"/>
    <n v="2274.3000000000002"/>
    <n v="3126.6"/>
    <n v="116520"/>
    <n v="126000"/>
    <m/>
    <m/>
    <m/>
    <m/>
    <m/>
    <m/>
    <m/>
    <m/>
    <n v="0"/>
    <n v="0"/>
    <n v="0"/>
    <n v="0"/>
    <m/>
    <m/>
    <n v="0"/>
    <n v="0"/>
    <m/>
    <m/>
    <m/>
    <m/>
    <m/>
    <m/>
    <m/>
    <m/>
    <n v="0"/>
    <n v="0"/>
    <n v="0"/>
    <n v="0"/>
    <n v="3884"/>
    <n v="4200"/>
  </r>
  <r>
    <x v="9"/>
    <s v="Rockingham Community College "/>
    <n v="199485"/>
    <x v="7"/>
    <s v="sem"/>
    <s v="sem"/>
    <m/>
    <m/>
    <n v="27180"/>
    <n v="30630"/>
    <n v="9120"/>
    <n v="10380"/>
    <n v="30870"/>
    <n v="36600"/>
    <n v="67170"/>
    <n v="2239"/>
    <n v="77610"/>
    <n v="2587"/>
    <n v="1245"/>
    <n v="1560"/>
    <n v="67170"/>
    <n v="77610"/>
    <m/>
    <m/>
    <m/>
    <m/>
    <m/>
    <m/>
    <m/>
    <m/>
    <n v="0"/>
    <n v="0"/>
    <n v="0"/>
    <n v="0"/>
    <m/>
    <m/>
    <n v="0"/>
    <n v="0"/>
    <m/>
    <m/>
    <m/>
    <m/>
    <m/>
    <m/>
    <m/>
    <m/>
    <n v="0"/>
    <n v="0"/>
    <n v="0"/>
    <n v="0"/>
    <n v="2239"/>
    <n v="2587"/>
  </r>
  <r>
    <x v="9"/>
    <s v="Sandhills Community College "/>
    <n v="199634"/>
    <x v="7"/>
    <s v="sem"/>
    <s v="sem"/>
    <m/>
    <m/>
    <n v="52860"/>
    <n v="57420"/>
    <n v="16230"/>
    <n v="20100"/>
    <n v="55950"/>
    <n v="60150"/>
    <n v="125040"/>
    <n v="4168"/>
    <n v="137670"/>
    <n v="4589"/>
    <n v="6114.3"/>
    <n v="4557.3"/>
    <n v="125040"/>
    <n v="137670"/>
    <m/>
    <m/>
    <m/>
    <m/>
    <m/>
    <m/>
    <m/>
    <m/>
    <n v="0"/>
    <n v="0"/>
    <n v="0"/>
    <n v="0"/>
    <m/>
    <m/>
    <n v="0"/>
    <n v="0"/>
    <m/>
    <m/>
    <m/>
    <m/>
    <m/>
    <m/>
    <m/>
    <m/>
    <n v="0"/>
    <n v="0"/>
    <n v="0"/>
    <n v="0"/>
    <n v="4168"/>
    <n v="4589"/>
  </r>
  <r>
    <x v="9"/>
    <s v="South Piedmont Community College"/>
    <n v="197850"/>
    <x v="7"/>
    <s v="sem"/>
    <s v="sem"/>
    <m/>
    <m/>
    <n v="31920"/>
    <n v="36210"/>
    <n v="10200"/>
    <n v="11490"/>
    <n v="34830"/>
    <n v="39810"/>
    <n v="76950"/>
    <n v="2565"/>
    <n v="87510"/>
    <n v="2917"/>
    <n v="2728.2"/>
    <n v="4458.8999999999996"/>
    <n v="76950"/>
    <n v="87510"/>
    <m/>
    <m/>
    <m/>
    <m/>
    <m/>
    <m/>
    <m/>
    <m/>
    <n v="0"/>
    <n v="0"/>
    <n v="0"/>
    <n v="0"/>
    <m/>
    <m/>
    <n v="0"/>
    <n v="0"/>
    <m/>
    <m/>
    <m/>
    <m/>
    <m/>
    <m/>
    <m/>
    <m/>
    <n v="0"/>
    <n v="0"/>
    <n v="0"/>
    <n v="0"/>
    <n v="2565"/>
    <n v="2917"/>
  </r>
  <r>
    <x v="9"/>
    <s v="Southeastern Community College "/>
    <n v="199722"/>
    <x v="7"/>
    <s v="sem"/>
    <s v="sem"/>
    <m/>
    <m/>
    <n v="33750"/>
    <n v="37470"/>
    <n v="10320"/>
    <n v="14070"/>
    <n v="36210"/>
    <n v="41940"/>
    <n v="80280"/>
    <n v="2676"/>
    <n v="93480"/>
    <n v="3116"/>
    <n v="4492.7999999999993"/>
    <n v="4486.2"/>
    <n v="80280"/>
    <n v="93480"/>
    <m/>
    <m/>
    <m/>
    <m/>
    <m/>
    <m/>
    <m/>
    <m/>
    <n v="0"/>
    <n v="0"/>
    <n v="0"/>
    <n v="0"/>
    <m/>
    <m/>
    <n v="0"/>
    <n v="0"/>
    <m/>
    <m/>
    <m/>
    <m/>
    <m/>
    <m/>
    <m/>
    <m/>
    <n v="0"/>
    <n v="0"/>
    <n v="0"/>
    <n v="0"/>
    <n v="2676"/>
    <n v="3116"/>
  </r>
  <r>
    <x v="9"/>
    <s v="Southwestern Community College "/>
    <n v="199731"/>
    <x v="7"/>
    <s v="sem"/>
    <s v="sem"/>
    <m/>
    <m/>
    <n v="31800"/>
    <n v="35460"/>
    <n v="10020"/>
    <n v="11790"/>
    <n v="35790"/>
    <n v="37440"/>
    <n v="77610"/>
    <n v="2587"/>
    <n v="84690"/>
    <n v="2823"/>
    <n v="6205.2"/>
    <n v="7422.3"/>
    <n v="77610"/>
    <n v="84690"/>
    <m/>
    <m/>
    <m/>
    <m/>
    <m/>
    <m/>
    <m/>
    <m/>
    <n v="0"/>
    <n v="0"/>
    <n v="0"/>
    <n v="0"/>
    <m/>
    <m/>
    <n v="0"/>
    <n v="0"/>
    <m/>
    <m/>
    <m/>
    <m/>
    <m/>
    <m/>
    <m/>
    <m/>
    <n v="0"/>
    <n v="0"/>
    <n v="0"/>
    <n v="0"/>
    <n v="2587"/>
    <n v="2823"/>
  </r>
  <r>
    <x v="9"/>
    <s v="Stanly Community College"/>
    <n v="199740"/>
    <x v="7"/>
    <s v="sem"/>
    <s v="sem"/>
    <m/>
    <m/>
    <n v="33600"/>
    <n v="37890"/>
    <n v="12390"/>
    <n v="13260"/>
    <n v="38340"/>
    <n v="45090"/>
    <n v="84330"/>
    <n v="2811"/>
    <n v="96240"/>
    <n v="3208"/>
    <n v="2915.4"/>
    <n v="3048.8999999999996"/>
    <n v="84330"/>
    <n v="96240"/>
    <m/>
    <m/>
    <m/>
    <m/>
    <m/>
    <m/>
    <m/>
    <m/>
    <n v="0"/>
    <n v="0"/>
    <n v="0"/>
    <n v="0"/>
    <m/>
    <m/>
    <n v="0"/>
    <n v="0"/>
    <m/>
    <m/>
    <m/>
    <m/>
    <m/>
    <m/>
    <m/>
    <m/>
    <n v="0"/>
    <n v="0"/>
    <n v="0"/>
    <n v="0"/>
    <n v="2811"/>
    <n v="3208"/>
  </r>
  <r>
    <x v="9"/>
    <s v="Surry Community College "/>
    <n v="199768"/>
    <x v="7"/>
    <s v="sem"/>
    <s v="sem"/>
    <m/>
    <m/>
    <n v="45870"/>
    <n v="47730"/>
    <n v="15660"/>
    <n v="16200"/>
    <n v="50220"/>
    <n v="52890"/>
    <n v="111750"/>
    <n v="3725"/>
    <n v="116820"/>
    <n v="3894"/>
    <n v="5877.3"/>
    <n v="8242.7999999999993"/>
    <n v="111750"/>
    <n v="116820"/>
    <m/>
    <m/>
    <m/>
    <m/>
    <m/>
    <m/>
    <m/>
    <m/>
    <n v="0"/>
    <n v="0"/>
    <n v="0"/>
    <n v="0"/>
    <m/>
    <m/>
    <n v="0"/>
    <n v="0"/>
    <m/>
    <m/>
    <m/>
    <m/>
    <m/>
    <m/>
    <m/>
    <m/>
    <n v="0"/>
    <n v="0"/>
    <n v="0"/>
    <n v="0"/>
    <n v="3725"/>
    <n v="3894"/>
  </r>
  <r>
    <x v="9"/>
    <s v="Vance-Granville Community College "/>
    <n v="199838"/>
    <x v="7"/>
    <s v="sem"/>
    <s v="sem"/>
    <m/>
    <m/>
    <n v="58950"/>
    <n v="63540"/>
    <n v="18210"/>
    <n v="20190"/>
    <n v="65460"/>
    <n v="65670"/>
    <n v="142620"/>
    <n v="4754"/>
    <n v="149400"/>
    <n v="4980"/>
    <n v="8778.6"/>
    <n v="7520.7"/>
    <n v="142620"/>
    <n v="149400"/>
    <m/>
    <m/>
    <m/>
    <m/>
    <m/>
    <m/>
    <m/>
    <m/>
    <n v="0"/>
    <n v="0"/>
    <n v="0"/>
    <n v="0"/>
    <m/>
    <m/>
    <n v="0"/>
    <n v="0"/>
    <m/>
    <m/>
    <m/>
    <m/>
    <m/>
    <m/>
    <m/>
    <m/>
    <n v="0"/>
    <n v="0"/>
    <n v="0"/>
    <n v="0"/>
    <n v="4754"/>
    <n v="4980"/>
  </r>
  <r>
    <x v="9"/>
    <s v="Wayne Community College"/>
    <n v="199892"/>
    <x v="7"/>
    <s v="sem"/>
    <s v="sem"/>
    <m/>
    <m/>
    <n v="49020"/>
    <n v="50970"/>
    <n v="17190"/>
    <n v="15720"/>
    <n v="52440"/>
    <n v="56070"/>
    <n v="118650"/>
    <n v="3955"/>
    <n v="122760"/>
    <n v="4092"/>
    <n v="4302.3"/>
    <n v="4982.7"/>
    <n v="118650"/>
    <n v="122760"/>
    <m/>
    <m/>
    <m/>
    <m/>
    <m/>
    <m/>
    <m/>
    <m/>
    <n v="0"/>
    <n v="0"/>
    <n v="0"/>
    <n v="0"/>
    <m/>
    <m/>
    <n v="0"/>
    <n v="0"/>
    <m/>
    <m/>
    <m/>
    <m/>
    <m/>
    <m/>
    <m/>
    <m/>
    <n v="0"/>
    <n v="0"/>
    <n v="0"/>
    <n v="0"/>
    <n v="3955"/>
    <n v="4092"/>
  </r>
  <r>
    <x v="9"/>
    <s v="Western Piedmont Community College "/>
    <n v="199908"/>
    <x v="7"/>
    <s v="sem"/>
    <s v="sem"/>
    <m/>
    <m/>
    <n v="44250"/>
    <n v="48090"/>
    <n v="15420"/>
    <n v="17610"/>
    <n v="45660"/>
    <n v="53820"/>
    <n v="105330"/>
    <n v="3511"/>
    <n v="119520"/>
    <n v="3984"/>
    <n v="4194"/>
    <n v="4989.9000000000005"/>
    <n v="105330"/>
    <n v="119520"/>
    <m/>
    <m/>
    <m/>
    <m/>
    <m/>
    <m/>
    <m/>
    <m/>
    <n v="0"/>
    <n v="0"/>
    <n v="0"/>
    <n v="0"/>
    <m/>
    <m/>
    <n v="0"/>
    <n v="0"/>
    <m/>
    <m/>
    <m/>
    <m/>
    <m/>
    <m/>
    <m/>
    <m/>
    <n v="0"/>
    <n v="0"/>
    <n v="0"/>
    <n v="0"/>
    <n v="3511"/>
    <n v="3984"/>
  </r>
  <r>
    <x v="9"/>
    <s v="Wilkes Community College "/>
    <n v="199926"/>
    <x v="7"/>
    <s v="sem"/>
    <s v="sem"/>
    <m/>
    <m/>
    <n v="37530"/>
    <n v="43470"/>
    <n v="10590"/>
    <n v="13350"/>
    <n v="42690"/>
    <n v="48870"/>
    <n v="90810"/>
    <n v="3027"/>
    <n v="105690"/>
    <n v="3523"/>
    <n v="4612.5"/>
    <n v="3268.2"/>
    <n v="90810"/>
    <n v="105690"/>
    <m/>
    <m/>
    <m/>
    <m/>
    <m/>
    <m/>
    <m/>
    <m/>
    <n v="0"/>
    <n v="0"/>
    <n v="0"/>
    <n v="0"/>
    <m/>
    <m/>
    <n v="0"/>
    <n v="0"/>
    <m/>
    <m/>
    <m/>
    <m/>
    <m/>
    <m/>
    <m/>
    <m/>
    <n v="0"/>
    <n v="0"/>
    <n v="0"/>
    <n v="0"/>
    <n v="3027"/>
    <n v="3523"/>
  </r>
  <r>
    <x v="9"/>
    <s v="Wilson Technical Community College"/>
    <n v="199953"/>
    <x v="7"/>
    <s v="sem"/>
    <s v="sem"/>
    <m/>
    <m/>
    <n v="29130"/>
    <n v="31080"/>
    <n v="13830"/>
    <n v="14580"/>
    <n v="29250"/>
    <n v="31650"/>
    <n v="72210"/>
    <n v="2407"/>
    <n v="77310"/>
    <n v="2577"/>
    <n v="838.2"/>
    <n v="2015.6999999999998"/>
    <n v="72210"/>
    <n v="77310"/>
    <m/>
    <m/>
    <m/>
    <m/>
    <m/>
    <m/>
    <m/>
    <m/>
    <n v="0"/>
    <n v="0"/>
    <n v="0"/>
    <n v="0"/>
    <m/>
    <m/>
    <n v="0"/>
    <n v="0"/>
    <m/>
    <m/>
    <m/>
    <m/>
    <m/>
    <m/>
    <m/>
    <m/>
    <n v="0"/>
    <n v="0"/>
    <n v="0"/>
    <n v="0"/>
    <n v="2407"/>
    <n v="2577"/>
  </r>
  <r>
    <x v="9"/>
    <s v="Beaufort County Community College "/>
    <n v="197966"/>
    <x v="8"/>
    <s v="sem"/>
    <s v="sem"/>
    <m/>
    <m/>
    <n v="24690"/>
    <n v="27510"/>
    <n v="6810"/>
    <n v="6690"/>
    <n v="26880"/>
    <n v="29910"/>
    <n v="58380"/>
    <n v="1946"/>
    <n v="64110"/>
    <n v="2137"/>
    <n v="2475.9"/>
    <n v="2160.9"/>
    <n v="58380"/>
    <n v="64110"/>
    <m/>
    <m/>
    <m/>
    <m/>
    <m/>
    <m/>
    <m/>
    <m/>
    <n v="0"/>
    <n v="0"/>
    <n v="0"/>
    <n v="0"/>
    <m/>
    <m/>
    <n v="0"/>
    <n v="0"/>
    <m/>
    <m/>
    <m/>
    <m/>
    <m/>
    <m/>
    <m/>
    <m/>
    <n v="0"/>
    <n v="0"/>
    <n v="0"/>
    <n v="0"/>
    <n v="1946"/>
    <n v="2137"/>
  </r>
  <r>
    <x v="9"/>
    <s v="Bladen Community College"/>
    <n v="198011"/>
    <x v="8"/>
    <s v="sem"/>
    <s v="sem"/>
    <m/>
    <m/>
    <n v="20460"/>
    <n v="22500"/>
    <n v="4890"/>
    <n v="4920"/>
    <n v="21480"/>
    <n v="26130"/>
    <n v="46830"/>
    <n v="1561"/>
    <n v="53550"/>
    <n v="1785"/>
    <n v="2384.4"/>
    <n v="1653.3"/>
    <n v="46830"/>
    <n v="53550"/>
    <m/>
    <m/>
    <m/>
    <m/>
    <m/>
    <m/>
    <m/>
    <m/>
    <n v="0"/>
    <n v="0"/>
    <n v="0"/>
    <n v="0"/>
    <m/>
    <m/>
    <n v="0"/>
    <n v="0"/>
    <m/>
    <m/>
    <m/>
    <m/>
    <m/>
    <m/>
    <m/>
    <m/>
    <n v="0"/>
    <n v="0"/>
    <n v="0"/>
    <n v="0"/>
    <n v="1561"/>
    <n v="1785"/>
  </r>
  <r>
    <x v="9"/>
    <s v="Brunswick Community College"/>
    <n v="198084"/>
    <x v="8"/>
    <s v="sem"/>
    <s v="sem"/>
    <m/>
    <m/>
    <n v="21120"/>
    <n v="24960"/>
    <n v="4920"/>
    <n v="6450"/>
    <n v="23910"/>
    <n v="26790"/>
    <n v="49950"/>
    <n v="1665"/>
    <n v="58200"/>
    <n v="1940"/>
    <n v="3070.5"/>
    <n v="3558.3"/>
    <n v="49950"/>
    <n v="58200"/>
    <m/>
    <m/>
    <m/>
    <m/>
    <m/>
    <m/>
    <m/>
    <m/>
    <n v="0"/>
    <n v="0"/>
    <n v="0"/>
    <n v="0"/>
    <m/>
    <m/>
    <n v="0"/>
    <n v="0"/>
    <m/>
    <m/>
    <m/>
    <m/>
    <m/>
    <m/>
    <m/>
    <m/>
    <n v="0"/>
    <n v="0"/>
    <n v="0"/>
    <n v="0"/>
    <n v="1665"/>
    <n v="1940"/>
  </r>
  <r>
    <x v="9"/>
    <s v="Carteret Community College"/>
    <n v="198206"/>
    <x v="8"/>
    <s v="sem"/>
    <s v="sem"/>
    <m/>
    <m/>
    <n v="24900"/>
    <n v="26820"/>
    <n v="9180"/>
    <n v="9060"/>
    <n v="25740"/>
    <n v="29310"/>
    <n v="59820"/>
    <n v="1994"/>
    <n v="65190"/>
    <n v="2173"/>
    <n v="1263.9000000000001"/>
    <n v="1507.5"/>
    <n v="59820"/>
    <n v="65190"/>
    <m/>
    <m/>
    <m/>
    <m/>
    <m/>
    <m/>
    <m/>
    <m/>
    <n v="0"/>
    <n v="0"/>
    <n v="0"/>
    <n v="0"/>
    <m/>
    <m/>
    <n v="0"/>
    <n v="0"/>
    <m/>
    <m/>
    <m/>
    <m/>
    <m/>
    <m/>
    <m/>
    <m/>
    <n v="0"/>
    <n v="0"/>
    <n v="0"/>
    <n v="0"/>
    <n v="1994"/>
    <n v="2173"/>
  </r>
  <r>
    <x v="9"/>
    <s v="Halifax Community College "/>
    <n v="198640"/>
    <x v="8"/>
    <s v="sem"/>
    <s v="sem"/>
    <m/>
    <m/>
    <n v="22260"/>
    <n v="24660"/>
    <n v="4800"/>
    <n v="4740"/>
    <n v="23610"/>
    <n v="27600"/>
    <n v="50670"/>
    <n v="1689"/>
    <n v="57000"/>
    <n v="1900"/>
    <n v="1053.9000000000001"/>
    <n v="748.2"/>
    <n v="50670"/>
    <n v="57000"/>
    <m/>
    <m/>
    <m/>
    <m/>
    <m/>
    <m/>
    <m/>
    <m/>
    <n v="0"/>
    <n v="0"/>
    <n v="0"/>
    <n v="0"/>
    <m/>
    <m/>
    <n v="0"/>
    <n v="0"/>
    <m/>
    <m/>
    <m/>
    <m/>
    <m/>
    <m/>
    <m/>
    <m/>
    <n v="0"/>
    <n v="0"/>
    <n v="0"/>
    <n v="0"/>
    <n v="1689"/>
    <n v="1900"/>
  </r>
  <r>
    <x v="9"/>
    <s v="James Sprunt Community College"/>
    <n v="198729"/>
    <x v="8"/>
    <s v="sem"/>
    <s v="sem"/>
    <m/>
    <m/>
    <n v="18030"/>
    <n v="19020"/>
    <n v="5550"/>
    <n v="6510"/>
    <n v="20430"/>
    <n v="24780"/>
    <n v="44010"/>
    <n v="1467"/>
    <n v="50310"/>
    <n v="1677"/>
    <n v="2222.7000000000003"/>
    <n v="2647.2"/>
    <n v="44010"/>
    <n v="50310"/>
    <m/>
    <m/>
    <m/>
    <m/>
    <m/>
    <m/>
    <m/>
    <m/>
    <n v="0"/>
    <n v="0"/>
    <n v="0"/>
    <n v="0"/>
    <m/>
    <m/>
    <n v="0"/>
    <n v="0"/>
    <m/>
    <m/>
    <m/>
    <m/>
    <m/>
    <m/>
    <m/>
    <m/>
    <n v="0"/>
    <n v="0"/>
    <n v="0"/>
    <n v="0"/>
    <n v="1467"/>
    <n v="1677"/>
  </r>
  <r>
    <x v="9"/>
    <s v="Martin Community College "/>
    <n v="198905"/>
    <x v="8"/>
    <s v="sem"/>
    <s v="sem"/>
    <m/>
    <m/>
    <n v="11100"/>
    <n v="12090"/>
    <n v="3900"/>
    <n v="4890"/>
    <n v="12180"/>
    <n v="15300"/>
    <n v="27180"/>
    <n v="906"/>
    <n v="32280"/>
    <n v="1076"/>
    <n v="1451.4"/>
    <n v="1184.0999999999999"/>
    <n v="27180"/>
    <n v="32280"/>
    <m/>
    <m/>
    <m/>
    <m/>
    <m/>
    <m/>
    <m/>
    <m/>
    <n v="0"/>
    <n v="0"/>
    <n v="0"/>
    <n v="0"/>
    <m/>
    <m/>
    <n v="0"/>
    <n v="0"/>
    <m/>
    <m/>
    <m/>
    <m/>
    <m/>
    <m/>
    <m/>
    <m/>
    <n v="0"/>
    <n v="0"/>
    <n v="0"/>
    <n v="0"/>
    <n v="906"/>
    <n v="1076"/>
  </r>
  <r>
    <x v="9"/>
    <s v="McDowell Technical Community College"/>
    <n v="198923"/>
    <x v="8"/>
    <s v="sem"/>
    <s v="sem"/>
    <m/>
    <m/>
    <n v="17790"/>
    <n v="21420"/>
    <n v="7470"/>
    <n v="9690"/>
    <n v="20580"/>
    <n v="23790"/>
    <n v="45840"/>
    <n v="1528"/>
    <n v="54900"/>
    <n v="1830"/>
    <n v="2490.9"/>
    <n v="3191.7"/>
    <n v="45840"/>
    <n v="54900"/>
    <m/>
    <m/>
    <m/>
    <m/>
    <m/>
    <m/>
    <m/>
    <m/>
    <n v="0"/>
    <n v="0"/>
    <n v="0"/>
    <n v="0"/>
    <m/>
    <m/>
    <n v="0"/>
    <n v="0"/>
    <m/>
    <m/>
    <m/>
    <m/>
    <m/>
    <m/>
    <m/>
    <m/>
    <n v="0"/>
    <n v="0"/>
    <n v="0"/>
    <n v="0"/>
    <n v="1528"/>
    <n v="1830"/>
  </r>
  <r>
    <x v="9"/>
    <s v="Montgomery Community College"/>
    <n v="199023"/>
    <x v="8"/>
    <s v="sem"/>
    <s v="sem"/>
    <m/>
    <m/>
    <n v="14190"/>
    <n v="14190"/>
    <n v="4590"/>
    <n v="5070"/>
    <n v="14790"/>
    <n v="15060"/>
    <n v="33570"/>
    <n v="1119"/>
    <n v="34320"/>
    <n v="1144"/>
    <n v="918.9"/>
    <n v="1311"/>
    <n v="33570"/>
    <n v="34320"/>
    <m/>
    <m/>
    <m/>
    <m/>
    <m/>
    <m/>
    <m/>
    <m/>
    <n v="0"/>
    <n v="0"/>
    <n v="0"/>
    <n v="0"/>
    <m/>
    <m/>
    <n v="0"/>
    <n v="0"/>
    <m/>
    <m/>
    <m/>
    <m/>
    <m/>
    <m/>
    <m/>
    <m/>
    <n v="0"/>
    <n v="0"/>
    <n v="0"/>
    <n v="0"/>
    <n v="1119"/>
    <n v="1144"/>
  </r>
  <r>
    <x v="9"/>
    <s v="Pamlico Community College"/>
    <n v="199263"/>
    <x v="8"/>
    <s v="sem"/>
    <s v="sem"/>
    <m/>
    <m/>
    <n v="7170"/>
    <n v="8520"/>
    <n v="2460"/>
    <n v="2820"/>
    <n v="8310"/>
    <n v="9180"/>
    <n v="17940"/>
    <n v="598"/>
    <n v="20520"/>
    <n v="684"/>
    <n v="1024.8"/>
    <n v="1831.8000000000002"/>
    <n v="17940"/>
    <n v="20520"/>
    <m/>
    <m/>
    <m/>
    <m/>
    <m/>
    <m/>
    <m/>
    <m/>
    <n v="0"/>
    <n v="0"/>
    <n v="0"/>
    <n v="0"/>
    <m/>
    <m/>
    <n v="0"/>
    <n v="0"/>
    <m/>
    <m/>
    <m/>
    <m/>
    <m/>
    <m/>
    <m/>
    <m/>
    <n v="0"/>
    <n v="0"/>
    <n v="0"/>
    <n v="0"/>
    <n v="598"/>
    <n v="684"/>
  </r>
  <r>
    <x v="9"/>
    <s v="Roanoke-Chowan Community College"/>
    <n v="199467"/>
    <x v="8"/>
    <s v="sem"/>
    <s v="sem"/>
    <m/>
    <m/>
    <n v="11940"/>
    <n v="13200"/>
    <n v="2490"/>
    <n v="2610"/>
    <n v="14610"/>
    <n v="15450"/>
    <n v="29040"/>
    <n v="968"/>
    <n v="31260"/>
    <n v="1042"/>
    <n v="1758.9"/>
    <n v="1775.6999999999998"/>
    <n v="29040"/>
    <n v="31260"/>
    <m/>
    <m/>
    <m/>
    <m/>
    <m/>
    <m/>
    <m/>
    <m/>
    <n v="0"/>
    <n v="0"/>
    <n v="0"/>
    <n v="0"/>
    <m/>
    <m/>
    <n v="0"/>
    <n v="0"/>
    <m/>
    <m/>
    <m/>
    <m/>
    <m/>
    <m/>
    <m/>
    <m/>
    <n v="0"/>
    <n v="0"/>
    <n v="0"/>
    <n v="0"/>
    <n v="968"/>
    <n v="1042"/>
  </r>
  <r>
    <x v="9"/>
    <s v="Sampson Community College"/>
    <n v="199625"/>
    <x v="8"/>
    <s v="sem"/>
    <s v="sem"/>
    <m/>
    <m/>
    <n v="22050"/>
    <n v="25560"/>
    <n v="8490"/>
    <n v="7530"/>
    <n v="26940"/>
    <n v="29010"/>
    <n v="57480"/>
    <n v="1916"/>
    <n v="62100"/>
    <n v="2070"/>
    <n v="3359.7"/>
    <n v="4249.2"/>
    <n v="57480"/>
    <n v="62100"/>
    <m/>
    <m/>
    <m/>
    <m/>
    <m/>
    <m/>
    <m/>
    <m/>
    <n v="0"/>
    <n v="0"/>
    <n v="0"/>
    <n v="0"/>
    <m/>
    <m/>
    <n v="0"/>
    <n v="0"/>
    <m/>
    <m/>
    <m/>
    <m/>
    <m/>
    <m/>
    <m/>
    <m/>
    <n v="0"/>
    <n v="0"/>
    <n v="0"/>
    <n v="0"/>
    <n v="1916"/>
    <n v="2070"/>
  </r>
  <r>
    <x v="9"/>
    <s v="Tri-County Community College "/>
    <n v="199795"/>
    <x v="8"/>
    <s v="sem"/>
    <s v="sem"/>
    <m/>
    <m/>
    <n v="14100"/>
    <n v="17490"/>
    <n v="4590"/>
    <n v="5820"/>
    <n v="16110"/>
    <n v="18930"/>
    <n v="34800"/>
    <n v="1160"/>
    <n v="42240"/>
    <n v="1408"/>
    <n v="4919.3999999999996"/>
    <n v="5328.3"/>
    <n v="34800"/>
    <n v="42240"/>
    <m/>
    <m/>
    <m/>
    <m/>
    <m/>
    <m/>
    <m/>
    <m/>
    <n v="0"/>
    <n v="0"/>
    <n v="0"/>
    <n v="0"/>
    <m/>
    <m/>
    <n v="0"/>
    <n v="0"/>
    <m/>
    <m/>
    <m/>
    <m/>
    <m/>
    <m/>
    <m/>
    <m/>
    <n v="0"/>
    <n v="0"/>
    <n v="0"/>
    <n v="0"/>
    <n v="1160"/>
    <n v="1408"/>
  </r>
  <r>
    <x v="10"/>
    <s v="Oklahoma State University Main Campus"/>
    <n v="207388"/>
    <x v="0"/>
    <s v="sem"/>
    <m/>
    <m/>
    <m/>
    <n v="229086"/>
    <n v="222529"/>
    <n v="29807"/>
    <n v="27241"/>
    <n v="242557"/>
    <n v="239057"/>
    <n v="501450"/>
    <n v="16715"/>
    <n v="488827"/>
    <n v="16294.233333333334"/>
    <n v="989"/>
    <n v="912"/>
    <n v="501450"/>
    <n v="488827"/>
    <m/>
    <m/>
    <m/>
    <m/>
    <m/>
    <m/>
    <m/>
    <m/>
    <n v="0"/>
    <n v="0"/>
    <n v="0"/>
    <n v="0"/>
    <m/>
    <m/>
    <n v="0"/>
    <n v="0"/>
    <m/>
    <m/>
    <n v="27786"/>
    <n v="29132"/>
    <n v="9447"/>
    <n v="10221"/>
    <n v="30119"/>
    <n v="31549"/>
    <n v="67352"/>
    <n v="2806.3333333333335"/>
    <n v="70902"/>
    <n v="2954.25"/>
    <n v="19521.333333333332"/>
    <n v="19248.483333333334"/>
  </r>
  <r>
    <x v="10"/>
    <s v="University of Oklahoma Norman Campus"/>
    <n v="207500"/>
    <x v="0"/>
    <s v="sem"/>
    <m/>
    <m/>
    <m/>
    <n v="253520"/>
    <n v="258599"/>
    <n v="32732"/>
    <n v="34927"/>
    <n v="275747"/>
    <n v="277497"/>
    <n v="561999"/>
    <n v="18733.3"/>
    <n v="571023"/>
    <n v="19034.099999999999"/>
    <n v="336"/>
    <n v="335"/>
    <n v="561999"/>
    <n v="571023"/>
    <m/>
    <m/>
    <m/>
    <m/>
    <m/>
    <m/>
    <m/>
    <m/>
    <n v="0"/>
    <n v="0"/>
    <n v="0"/>
    <n v="0"/>
    <m/>
    <m/>
    <n v="0"/>
    <n v="0"/>
    <m/>
    <m/>
    <n v="46754"/>
    <n v="48059"/>
    <n v="18775"/>
    <n v="17678"/>
    <n v="49063"/>
    <n v="51011"/>
    <n v="114592"/>
    <n v="4774.666666666667"/>
    <n v="116748"/>
    <n v="4864.5"/>
    <n v="23507.966666666667"/>
    <n v="23898.6"/>
  </r>
  <r>
    <x v="10"/>
    <s v="Northeastern State University"/>
    <n v="207263"/>
    <x v="2"/>
    <s v="sem"/>
    <m/>
    <m/>
    <m/>
    <n v="90263"/>
    <n v="86414"/>
    <n v="15324"/>
    <n v="16791"/>
    <n v="92752"/>
    <n v="95610"/>
    <n v="198339"/>
    <n v="6611.3"/>
    <n v="198815"/>
    <n v="6627.166666666667"/>
    <n v="983"/>
    <n v="1113"/>
    <n v="198339"/>
    <n v="198815"/>
    <m/>
    <m/>
    <m/>
    <m/>
    <m/>
    <m/>
    <m/>
    <m/>
    <n v="0"/>
    <n v="0"/>
    <n v="0"/>
    <n v="0"/>
    <m/>
    <m/>
    <n v="0"/>
    <n v="0"/>
    <m/>
    <m/>
    <n v="5804"/>
    <n v="6531"/>
    <n v="2494"/>
    <n v="3006"/>
    <n v="6516"/>
    <n v="7445"/>
    <n v="14814"/>
    <n v="617.25"/>
    <n v="16982"/>
    <n v="707.58333333333337"/>
    <n v="7228.55"/>
    <n v="7334.75"/>
  </r>
  <r>
    <x v="10"/>
    <s v="University of Central Oklahoma"/>
    <n v="206941"/>
    <x v="2"/>
    <s v="sem"/>
    <m/>
    <m/>
    <m/>
    <n v="135993"/>
    <n v="136157"/>
    <n v="22675"/>
    <n v="22279"/>
    <n v="149369"/>
    <n v="165010"/>
    <n v="308037"/>
    <n v="10267.9"/>
    <n v="323446"/>
    <n v="10781.533333333333"/>
    <n v="2279"/>
    <n v="1578"/>
    <n v="308037"/>
    <n v="323446"/>
    <m/>
    <m/>
    <m/>
    <m/>
    <m/>
    <m/>
    <m/>
    <m/>
    <n v="0"/>
    <n v="0"/>
    <n v="0"/>
    <n v="0"/>
    <m/>
    <m/>
    <n v="0"/>
    <n v="0"/>
    <m/>
    <m/>
    <n v="9294"/>
    <n v="10415"/>
    <n v="3990"/>
    <n v="4238"/>
    <n v="10255"/>
    <n v="12460"/>
    <n v="23539"/>
    <n v="980.79166666666663"/>
    <n v="27113"/>
    <n v="1129.7083333333333"/>
    <n v="11248.691666666666"/>
    <n v="11911.241666666667"/>
  </r>
  <r>
    <x v="10"/>
    <s v="Cameron University "/>
    <n v="206914"/>
    <x v="4"/>
    <s v="sem"/>
    <m/>
    <m/>
    <m/>
    <n v="51587"/>
    <n v="52911"/>
    <n v="11580"/>
    <n v="12047"/>
    <n v="55018"/>
    <n v="62107"/>
    <n v="118185"/>
    <n v="3939.5"/>
    <n v="127065"/>
    <n v="4235.5"/>
    <n v="1612"/>
    <n v="1686"/>
    <n v="118185"/>
    <n v="127065"/>
    <m/>
    <m/>
    <m/>
    <m/>
    <m/>
    <m/>
    <m/>
    <m/>
    <n v="0"/>
    <n v="0"/>
    <n v="0"/>
    <n v="0"/>
    <m/>
    <m/>
    <n v="0"/>
    <n v="0"/>
    <m/>
    <m/>
    <n v="2675"/>
    <n v="2411"/>
    <n v="978"/>
    <n v="1021"/>
    <n v="2533"/>
    <n v="3000"/>
    <n v="6186"/>
    <n v="257.75"/>
    <n v="6432"/>
    <n v="268"/>
    <n v="4197.25"/>
    <n v="4503.5"/>
  </r>
  <r>
    <x v="10"/>
    <s v="East Central University "/>
    <n v="207041"/>
    <x v="4"/>
    <s v="sem"/>
    <m/>
    <m/>
    <m/>
    <n v="43116"/>
    <n v="42739"/>
    <n v="7688"/>
    <n v="8179"/>
    <n v="45362"/>
    <n v="47654"/>
    <n v="96166"/>
    <n v="3205.5333333333333"/>
    <n v="98572"/>
    <n v="3285.7333333333331"/>
    <n v="384"/>
    <n v="491"/>
    <n v="96166"/>
    <n v="98572"/>
    <m/>
    <m/>
    <m/>
    <m/>
    <m/>
    <m/>
    <m/>
    <m/>
    <n v="0"/>
    <n v="0"/>
    <n v="0"/>
    <n v="0"/>
    <m/>
    <m/>
    <n v="0"/>
    <n v="0"/>
    <m/>
    <m/>
    <n v="5423"/>
    <n v="5254"/>
    <n v="4743"/>
    <n v="4331"/>
    <n v="5225"/>
    <n v="5497"/>
    <n v="15391"/>
    <n v="641.29166666666663"/>
    <n v="15082"/>
    <n v="628.41666666666663"/>
    <n v="3846.8249999999998"/>
    <n v="3914.1499999999996"/>
  </r>
  <r>
    <x v="10"/>
    <s v="Langston University"/>
    <n v="207209"/>
    <x v="4"/>
    <s v="sem"/>
    <m/>
    <m/>
    <m/>
    <n v="29605"/>
    <n v="29415"/>
    <n v="4235"/>
    <n v="4228"/>
    <n v="32351"/>
    <n v="31608"/>
    <n v="66191"/>
    <n v="2206.3666666666668"/>
    <n v="65251"/>
    <n v="2175.0333333333333"/>
    <m/>
    <n v="6"/>
    <n v="0"/>
    <n v="65251"/>
    <m/>
    <m/>
    <m/>
    <m/>
    <m/>
    <m/>
    <m/>
    <m/>
    <n v="0"/>
    <n v="0"/>
    <n v="0"/>
    <n v="0"/>
    <m/>
    <m/>
    <n v="0"/>
    <n v="0"/>
    <m/>
    <m/>
    <n v="2539"/>
    <n v="2745"/>
    <n v="1265"/>
    <n v="1521"/>
    <n v="2095"/>
    <n v="2641"/>
    <n v="5899"/>
    <n v="245.79166666666666"/>
    <n v="6907"/>
    <n v="287.79166666666669"/>
    <n v="2452.1583333333333"/>
    <n v="2462.8249999999998"/>
  </r>
  <r>
    <x v="10"/>
    <s v="Northwestern Oklahoma State University "/>
    <n v="207306"/>
    <x v="4"/>
    <s v="sem"/>
    <m/>
    <m/>
    <m/>
    <n v="21035"/>
    <n v="21297"/>
    <n v="3732"/>
    <n v="3858"/>
    <n v="22838"/>
    <n v="25020"/>
    <n v="47605"/>
    <n v="1586.8333333333333"/>
    <n v="50175"/>
    <n v="1672.5"/>
    <n v="461"/>
    <n v="529"/>
    <n v="47605"/>
    <n v="50175"/>
    <m/>
    <m/>
    <m/>
    <m/>
    <m/>
    <m/>
    <m/>
    <m/>
    <n v="0"/>
    <n v="0"/>
    <n v="0"/>
    <n v="0"/>
    <m/>
    <m/>
    <n v="0"/>
    <n v="0"/>
    <m/>
    <m/>
    <n v="1593"/>
    <n v="1479"/>
    <n v="1026"/>
    <n v="830"/>
    <n v="1531"/>
    <n v="1589"/>
    <n v="4150"/>
    <n v="172.91666666666666"/>
    <n v="3898"/>
    <n v="162.41666666666666"/>
    <n v="1759.75"/>
    <n v="1834.9166666666667"/>
  </r>
  <r>
    <x v="10"/>
    <s v="Southeastern Oklahoma State University "/>
    <n v="207847"/>
    <x v="4"/>
    <s v="sem"/>
    <m/>
    <m/>
    <m/>
    <n v="39183"/>
    <n v="40229"/>
    <n v="7890"/>
    <n v="8507"/>
    <n v="43124"/>
    <n v="46822"/>
    <n v="90197"/>
    <n v="3006.5666666666666"/>
    <n v="95558"/>
    <n v="3185.2666666666669"/>
    <n v="1496"/>
    <n v="1519"/>
    <n v="90197"/>
    <n v="95558"/>
    <m/>
    <m/>
    <m/>
    <m/>
    <m/>
    <m/>
    <m/>
    <m/>
    <n v="0"/>
    <n v="0"/>
    <n v="0"/>
    <n v="0"/>
    <m/>
    <m/>
    <n v="0"/>
    <n v="0"/>
    <m/>
    <m/>
    <n v="2429"/>
    <n v="2613"/>
    <n v="1118"/>
    <n v="1250"/>
    <n v="2468"/>
    <n v="2715"/>
    <n v="6015"/>
    <n v="250.625"/>
    <n v="6578"/>
    <n v="274.08333333333331"/>
    <n v="3257.1916666666666"/>
    <n v="3459.3500000000004"/>
  </r>
  <r>
    <x v="10"/>
    <s v="Southwestern Oklahoma State University"/>
    <n v="207865"/>
    <x v="4"/>
    <s v="sem"/>
    <m/>
    <m/>
    <m/>
    <n v="50107"/>
    <n v="49817"/>
    <n v="6480"/>
    <n v="7568"/>
    <n v="53736"/>
    <n v="55106"/>
    <n v="110323"/>
    <n v="3677.4333333333334"/>
    <n v="112491"/>
    <n v="3749.7"/>
    <n v="1235"/>
    <n v="1359"/>
    <n v="110323"/>
    <n v="112491"/>
    <m/>
    <m/>
    <m/>
    <m/>
    <m/>
    <m/>
    <m/>
    <m/>
    <n v="0"/>
    <n v="0"/>
    <n v="0"/>
    <n v="0"/>
    <m/>
    <m/>
    <n v="0"/>
    <n v="0"/>
    <m/>
    <m/>
    <n v="2904"/>
    <n v="2788"/>
    <n v="2306"/>
    <n v="2275"/>
    <n v="2569"/>
    <n v="2853"/>
    <n v="7779"/>
    <n v="324.125"/>
    <n v="7916"/>
    <n v="329.83333333333331"/>
    <n v="4001.5583333333334"/>
    <n v="4079.5333333333333"/>
  </r>
  <r>
    <x v="10"/>
    <s v="Oklahoma Panhandle State University "/>
    <n v="207351"/>
    <x v="5"/>
    <s v="sem"/>
    <m/>
    <m/>
    <m/>
    <n v="14277"/>
    <n v="14762"/>
    <n v="1625"/>
    <n v="1543"/>
    <n v="16370"/>
    <n v="17270"/>
    <n v="32272"/>
    <n v="1075.7333333333333"/>
    <n v="33575"/>
    <n v="1119.1666666666667"/>
    <n v="402"/>
    <n v="445"/>
    <n v="32272"/>
    <n v="33575"/>
    <m/>
    <m/>
    <m/>
    <m/>
    <m/>
    <m/>
    <m/>
    <m/>
    <n v="0"/>
    <n v="0"/>
    <n v="0"/>
    <n v="0"/>
    <m/>
    <m/>
    <n v="0"/>
    <n v="0"/>
    <m/>
    <m/>
    <m/>
    <m/>
    <m/>
    <m/>
    <m/>
    <m/>
    <n v="0"/>
    <n v="0"/>
    <n v="0"/>
    <n v="0"/>
    <n v="1075.7333333333333"/>
    <n v="1119.1666666666667"/>
  </r>
  <r>
    <x v="10"/>
    <s v="Rogers State University"/>
    <n v="207661"/>
    <x v="5"/>
    <s v="sem"/>
    <m/>
    <m/>
    <m/>
    <n v="37236"/>
    <n v="39559"/>
    <n v="5731"/>
    <n v="6504"/>
    <n v="41591"/>
    <n v="45738"/>
    <n v="84558"/>
    <n v="2818.6"/>
    <n v="91801"/>
    <n v="3060.0333333333333"/>
    <n v="1908"/>
    <n v="2194"/>
    <n v="84558"/>
    <n v="91801"/>
    <m/>
    <m/>
    <m/>
    <m/>
    <m/>
    <m/>
    <m/>
    <m/>
    <n v="0"/>
    <n v="0"/>
    <n v="0"/>
    <n v="0"/>
    <m/>
    <m/>
    <n v="0"/>
    <n v="0"/>
    <m/>
    <m/>
    <m/>
    <m/>
    <m/>
    <m/>
    <m/>
    <m/>
    <n v="0"/>
    <n v="0"/>
    <n v="0"/>
    <n v="0"/>
    <n v="2818.6"/>
    <n v="3060.0333333333333"/>
  </r>
  <r>
    <x v="10"/>
    <s v="University of Science and Arts of Oklahoma"/>
    <n v="207722"/>
    <x v="5"/>
    <s v="sem"/>
    <m/>
    <m/>
    <m/>
    <n v="13302"/>
    <n v="12767"/>
    <n v="4685"/>
    <n v="4606"/>
    <n v="14293"/>
    <n v="14013"/>
    <n v="32280"/>
    <n v="1076"/>
    <n v="31386"/>
    <n v="1046.2"/>
    <n v="109"/>
    <n v="94"/>
    <n v="32280"/>
    <n v="31386"/>
    <m/>
    <m/>
    <m/>
    <m/>
    <m/>
    <m/>
    <m/>
    <m/>
    <n v="0"/>
    <n v="0"/>
    <n v="0"/>
    <n v="0"/>
    <m/>
    <m/>
    <n v="0"/>
    <n v="0"/>
    <m/>
    <m/>
    <m/>
    <m/>
    <m/>
    <m/>
    <m/>
    <m/>
    <n v="0"/>
    <n v="0"/>
    <n v="0"/>
    <n v="0"/>
    <n v="1076"/>
    <n v="1046.2"/>
  </r>
  <r>
    <x v="10"/>
    <s v="Oklahoma State University Technical Branch-Okmulgee "/>
    <n v="207564"/>
    <x v="11"/>
    <s v="sem"/>
    <m/>
    <m/>
    <m/>
    <n v="32737"/>
    <n v="35453"/>
    <n v="18274"/>
    <n v="20097"/>
    <n v="37057"/>
    <n v="43006"/>
    <n v="88068"/>
    <n v="2935.6"/>
    <n v="98556"/>
    <n v="3285.2"/>
    <n v="1054"/>
    <n v="1152"/>
    <n v="88068"/>
    <n v="98556"/>
    <m/>
    <m/>
    <m/>
    <m/>
    <m/>
    <m/>
    <m/>
    <m/>
    <n v="0"/>
    <n v="0"/>
    <n v="0"/>
    <n v="0"/>
    <m/>
    <m/>
    <n v="0"/>
    <n v="0"/>
    <m/>
    <m/>
    <m/>
    <m/>
    <m/>
    <m/>
    <m/>
    <m/>
    <n v="0"/>
    <n v="0"/>
    <n v="0"/>
    <n v="0"/>
    <n v="2935.6"/>
    <n v="3285.2"/>
  </r>
  <r>
    <x v="10"/>
    <s v="Oklahoma City Community College "/>
    <n v="207449"/>
    <x v="6"/>
    <s v="sem"/>
    <m/>
    <m/>
    <m/>
    <n v="102791"/>
    <n v="108192"/>
    <n v="26856"/>
    <n v="29788"/>
    <n v="108830"/>
    <n v="126851"/>
    <n v="238477"/>
    <n v="7949.2333333333336"/>
    <n v="264831"/>
    <n v="8827.7000000000007"/>
    <n v="5154"/>
    <n v="7447"/>
    <n v="238477"/>
    <n v="264831"/>
    <m/>
    <m/>
    <m/>
    <m/>
    <m/>
    <m/>
    <m/>
    <m/>
    <n v="0"/>
    <n v="0"/>
    <n v="0"/>
    <n v="0"/>
    <m/>
    <m/>
    <n v="0"/>
    <n v="0"/>
    <m/>
    <m/>
    <m/>
    <m/>
    <m/>
    <m/>
    <m/>
    <m/>
    <n v="0"/>
    <n v="0"/>
    <n v="0"/>
    <n v="0"/>
    <n v="7949.2333333333336"/>
    <n v="8827.7000000000007"/>
  </r>
  <r>
    <x v="10"/>
    <s v="Tulsa Community College "/>
    <n v="207935"/>
    <x v="6"/>
    <s v="sem"/>
    <m/>
    <m/>
    <m/>
    <n v="138326"/>
    <n v="149337"/>
    <n v="46432"/>
    <n v="49277"/>
    <n v="156006"/>
    <n v="175882"/>
    <n v="340764"/>
    <n v="11358.8"/>
    <n v="374496"/>
    <n v="12483.2"/>
    <n v="7779"/>
    <n v="9456"/>
    <n v="340764"/>
    <n v="374496"/>
    <m/>
    <m/>
    <m/>
    <m/>
    <m/>
    <m/>
    <m/>
    <m/>
    <n v="0"/>
    <n v="0"/>
    <n v="0"/>
    <n v="0"/>
    <m/>
    <m/>
    <n v="0"/>
    <n v="0"/>
    <m/>
    <m/>
    <m/>
    <m/>
    <m/>
    <m/>
    <m/>
    <m/>
    <n v="0"/>
    <n v="0"/>
    <n v="0"/>
    <n v="0"/>
    <n v="11358.8"/>
    <n v="12483.2"/>
  </r>
  <r>
    <x v="10"/>
    <s v="Northern Oklahoma College "/>
    <n v="207281"/>
    <x v="7"/>
    <s v="sem"/>
    <m/>
    <m/>
    <m/>
    <n v="46965"/>
    <n v="47037"/>
    <n v="7745"/>
    <n v="7211"/>
    <n v="49507"/>
    <n v="51355"/>
    <n v="104217"/>
    <n v="3473.9"/>
    <n v="105603"/>
    <n v="3520.1"/>
    <n v="3178"/>
    <n v="3780"/>
    <n v="104217"/>
    <n v="105603"/>
    <m/>
    <m/>
    <m/>
    <m/>
    <m/>
    <m/>
    <m/>
    <m/>
    <n v="0"/>
    <n v="0"/>
    <n v="0"/>
    <n v="0"/>
    <m/>
    <m/>
    <n v="0"/>
    <n v="0"/>
    <m/>
    <m/>
    <m/>
    <m/>
    <m/>
    <m/>
    <m/>
    <m/>
    <n v="0"/>
    <n v="0"/>
    <n v="0"/>
    <n v="0"/>
    <n v="3473.9"/>
    <n v="3520.1"/>
  </r>
  <r>
    <x v="10"/>
    <s v="Oklahoma State University-Oklahoma City "/>
    <n v="207397"/>
    <x v="7"/>
    <s v="sem"/>
    <m/>
    <m/>
    <m/>
    <n v="48008"/>
    <n v="51383"/>
    <n v="13440"/>
    <n v="15681"/>
    <n v="51716"/>
    <n v="63724"/>
    <n v="113164"/>
    <n v="3772.1333333333332"/>
    <n v="130788"/>
    <n v="4359.6000000000004"/>
    <n v="1454"/>
    <n v="104"/>
    <n v="113164"/>
    <n v="130788"/>
    <m/>
    <m/>
    <m/>
    <m/>
    <m/>
    <m/>
    <m/>
    <m/>
    <n v="0"/>
    <n v="0"/>
    <n v="0"/>
    <n v="0"/>
    <m/>
    <m/>
    <n v="0"/>
    <n v="0"/>
    <m/>
    <m/>
    <m/>
    <m/>
    <m/>
    <m/>
    <m/>
    <m/>
    <n v="0"/>
    <n v="0"/>
    <n v="0"/>
    <n v="0"/>
    <n v="3772.1333333333332"/>
    <n v="4359.6000000000004"/>
  </r>
  <r>
    <x v="10"/>
    <s v="Rose State College "/>
    <n v="207670"/>
    <x v="7"/>
    <s v="sem"/>
    <m/>
    <m/>
    <m/>
    <n v="59638"/>
    <n v="60745"/>
    <n v="14675"/>
    <n v="16064"/>
    <n v="65638"/>
    <n v="74152"/>
    <n v="139951"/>
    <n v="4665.0333333333338"/>
    <n v="150961"/>
    <n v="5032.0333333333338"/>
    <n v="2830"/>
    <n v="2458"/>
    <n v="139951"/>
    <n v="150961"/>
    <m/>
    <m/>
    <m/>
    <m/>
    <m/>
    <m/>
    <m/>
    <m/>
    <n v="0"/>
    <n v="0"/>
    <n v="0"/>
    <n v="0"/>
    <m/>
    <m/>
    <n v="0"/>
    <n v="0"/>
    <m/>
    <m/>
    <m/>
    <m/>
    <m/>
    <m/>
    <m/>
    <m/>
    <n v="0"/>
    <n v="0"/>
    <n v="0"/>
    <n v="0"/>
    <n v="4665.0333333333338"/>
    <n v="5032.0333333333338"/>
  </r>
  <r>
    <x v="10"/>
    <s v="Carl Albert State College"/>
    <n v="206923"/>
    <x v="8"/>
    <s v="sem"/>
    <m/>
    <m/>
    <m/>
    <n v="23423"/>
    <n v="23826"/>
    <n v="4627"/>
    <n v="5047"/>
    <n v="25544"/>
    <n v="27809"/>
    <n v="53594"/>
    <n v="1786.4666666666667"/>
    <n v="56682"/>
    <n v="1889.4"/>
    <n v="422"/>
    <n v="1894"/>
    <n v="53594"/>
    <n v="56682"/>
    <m/>
    <m/>
    <m/>
    <m/>
    <m/>
    <m/>
    <m/>
    <m/>
    <n v="0"/>
    <n v="0"/>
    <n v="0"/>
    <n v="0"/>
    <m/>
    <m/>
    <n v="0"/>
    <n v="0"/>
    <m/>
    <m/>
    <m/>
    <m/>
    <m/>
    <m/>
    <m/>
    <m/>
    <n v="0"/>
    <n v="0"/>
    <n v="0"/>
    <n v="0"/>
    <n v="1786.4666666666667"/>
    <n v="1889.4"/>
  </r>
  <r>
    <x v="10"/>
    <s v="Connors State College "/>
    <n v="206996"/>
    <x v="8"/>
    <s v="sem"/>
    <m/>
    <m/>
    <m/>
    <n v="21306"/>
    <n v="22114"/>
    <n v="3849"/>
    <n v="3847"/>
    <n v="24410"/>
    <n v="24789"/>
    <n v="49565"/>
    <n v="1652.1666666666667"/>
    <n v="50750"/>
    <n v="1691.6666666666667"/>
    <n v="1269"/>
    <n v="1248"/>
    <n v="49565"/>
    <n v="50750"/>
    <m/>
    <m/>
    <m/>
    <m/>
    <m/>
    <m/>
    <m/>
    <m/>
    <n v="0"/>
    <n v="0"/>
    <n v="0"/>
    <n v="0"/>
    <m/>
    <m/>
    <n v="0"/>
    <n v="0"/>
    <m/>
    <m/>
    <m/>
    <m/>
    <m/>
    <m/>
    <m/>
    <m/>
    <n v="0"/>
    <n v="0"/>
    <n v="0"/>
    <n v="0"/>
    <n v="1652.1666666666667"/>
    <n v="1691.6666666666667"/>
  </r>
  <r>
    <x v="10"/>
    <s v="Eastern Oklahoma State College "/>
    <n v="207050"/>
    <x v="8"/>
    <s v="sem"/>
    <m/>
    <m/>
    <m/>
    <n v="17075"/>
    <n v="17762"/>
    <n v="3031"/>
    <n v="3730"/>
    <n v="19289"/>
    <n v="21460"/>
    <n v="39395"/>
    <n v="1313.1666666666667"/>
    <n v="42952"/>
    <n v="1431.7333333333333"/>
    <n v="1203"/>
    <n v="2883"/>
    <n v="39395"/>
    <n v="42952"/>
    <m/>
    <m/>
    <m/>
    <m/>
    <m/>
    <m/>
    <m/>
    <m/>
    <n v="0"/>
    <n v="0"/>
    <n v="0"/>
    <n v="0"/>
    <m/>
    <m/>
    <n v="0"/>
    <n v="0"/>
    <m/>
    <m/>
    <m/>
    <m/>
    <m/>
    <m/>
    <m/>
    <m/>
    <n v="0"/>
    <n v="0"/>
    <n v="0"/>
    <n v="0"/>
    <n v="1313.1666666666667"/>
    <n v="1431.7333333333333"/>
  </r>
  <r>
    <x v="10"/>
    <s v="Murray State College "/>
    <n v="207236"/>
    <x v="8"/>
    <s v="sem"/>
    <m/>
    <m/>
    <m/>
    <n v="23182"/>
    <n v="23210"/>
    <n v="3683"/>
    <n v="4575"/>
    <n v="24045"/>
    <n v="26281"/>
    <n v="50910"/>
    <n v="1697"/>
    <n v="54066"/>
    <n v="1802.2"/>
    <n v="3003"/>
    <n v="2753"/>
    <n v="50910"/>
    <n v="54066"/>
    <m/>
    <m/>
    <m/>
    <m/>
    <m/>
    <m/>
    <m/>
    <m/>
    <n v="0"/>
    <n v="0"/>
    <n v="0"/>
    <n v="0"/>
    <m/>
    <m/>
    <n v="0"/>
    <n v="0"/>
    <m/>
    <m/>
    <m/>
    <m/>
    <m/>
    <m/>
    <m/>
    <m/>
    <n v="0"/>
    <n v="0"/>
    <n v="0"/>
    <n v="0"/>
    <n v="1697"/>
    <n v="1802.2"/>
  </r>
  <r>
    <x v="10"/>
    <s v="Northeastern Oklahoma A &amp; M College "/>
    <n v="207290"/>
    <x v="8"/>
    <s v="sem"/>
    <m/>
    <m/>
    <m/>
    <n v="19302"/>
    <n v="20896"/>
    <n v="3161"/>
    <n v="3835"/>
    <n v="23052"/>
    <n v="27095"/>
    <n v="45515"/>
    <n v="1517.1666666666667"/>
    <n v="51826"/>
    <n v="1727.5333333333333"/>
    <n v="1056"/>
    <n v="1428"/>
    <n v="45515"/>
    <n v="51826"/>
    <m/>
    <m/>
    <m/>
    <m/>
    <m/>
    <m/>
    <m/>
    <m/>
    <n v="0"/>
    <n v="0"/>
    <n v="0"/>
    <n v="0"/>
    <m/>
    <m/>
    <n v="0"/>
    <n v="0"/>
    <m/>
    <m/>
    <m/>
    <m/>
    <m/>
    <m/>
    <m/>
    <m/>
    <n v="0"/>
    <n v="0"/>
    <n v="0"/>
    <n v="0"/>
    <n v="1517.1666666666667"/>
    <n v="1727.5333333333333"/>
  </r>
  <r>
    <x v="10"/>
    <s v="Redlands Community College"/>
    <n v="207069"/>
    <x v="8"/>
    <s v="sem"/>
    <m/>
    <m/>
    <m/>
    <n v="18306"/>
    <n v="19116"/>
    <n v="3829"/>
    <n v="3911"/>
    <n v="20265"/>
    <n v="20585"/>
    <n v="42400"/>
    <n v="1413.3333333333333"/>
    <n v="43612"/>
    <n v="1453.7333333333333"/>
    <n v="5384"/>
    <n v="5233"/>
    <n v="42400"/>
    <n v="43612"/>
    <m/>
    <m/>
    <m/>
    <m/>
    <m/>
    <m/>
    <m/>
    <m/>
    <n v="0"/>
    <n v="0"/>
    <n v="0"/>
    <n v="0"/>
    <m/>
    <m/>
    <n v="0"/>
    <n v="0"/>
    <m/>
    <m/>
    <m/>
    <m/>
    <m/>
    <m/>
    <m/>
    <m/>
    <n v="0"/>
    <n v="0"/>
    <n v="0"/>
    <n v="0"/>
    <n v="1413.3333333333333"/>
    <n v="1453.7333333333333"/>
  </r>
  <r>
    <x v="10"/>
    <s v="Seminole State College "/>
    <n v="207740"/>
    <x v="8"/>
    <s v="sem"/>
    <m/>
    <m/>
    <m/>
    <n v="18523"/>
    <n v="19935"/>
    <n v="2924"/>
    <n v="3796"/>
    <n v="21181"/>
    <n v="25285"/>
    <n v="42628"/>
    <n v="1420.9333333333334"/>
    <n v="49016"/>
    <n v="1633.8666666666666"/>
    <n v="1634"/>
    <n v="1580"/>
    <n v="42628"/>
    <n v="49016"/>
    <m/>
    <m/>
    <m/>
    <m/>
    <m/>
    <m/>
    <m/>
    <m/>
    <n v="0"/>
    <n v="0"/>
    <n v="0"/>
    <n v="0"/>
    <m/>
    <m/>
    <n v="0"/>
    <n v="0"/>
    <m/>
    <m/>
    <m/>
    <m/>
    <m/>
    <m/>
    <m/>
    <m/>
    <n v="0"/>
    <n v="0"/>
    <n v="0"/>
    <n v="0"/>
    <n v="1420.9333333333334"/>
    <n v="1633.8666666666666"/>
  </r>
  <r>
    <x v="10"/>
    <s v="Western Oklahoma State College "/>
    <n v="208035"/>
    <x v="8"/>
    <s v="sem"/>
    <m/>
    <m/>
    <m/>
    <n v="15299"/>
    <n v="16472"/>
    <n v="3068"/>
    <n v="4857"/>
    <n v="19849"/>
    <n v="26550"/>
    <n v="38216"/>
    <n v="1273.8666666666666"/>
    <n v="47879"/>
    <n v="1595.9666666666667"/>
    <n v="1397"/>
    <n v="1596"/>
    <n v="38216"/>
    <n v="47879"/>
    <m/>
    <m/>
    <m/>
    <m/>
    <m/>
    <m/>
    <m/>
    <m/>
    <n v="0"/>
    <n v="0"/>
    <n v="0"/>
    <n v="0"/>
    <m/>
    <m/>
    <n v="0"/>
    <n v="0"/>
    <m/>
    <m/>
    <m/>
    <m/>
    <m/>
    <m/>
    <m/>
    <m/>
    <n v="0"/>
    <n v="0"/>
    <n v="0"/>
    <n v="0"/>
    <n v="1273.8666666666666"/>
    <n v="1595.9666666666667"/>
  </r>
  <r>
    <x v="10"/>
    <s v="Canadian Valley Technology Center                 "/>
    <n v="365374"/>
    <x v="9"/>
    <s v="sem"/>
    <m/>
    <m/>
    <m/>
    <m/>
    <m/>
    <m/>
    <m/>
    <m/>
    <m/>
    <n v="0"/>
    <n v="0"/>
    <n v="0"/>
    <n v="0"/>
    <m/>
    <m/>
    <n v="0"/>
    <n v="0"/>
    <m/>
    <m/>
    <m/>
    <m/>
    <m/>
    <m/>
    <n v="955036.96"/>
    <n v="947204"/>
    <n v="955036.96"/>
    <n v="1061.1521777777778"/>
    <n v="947204"/>
    <n v="1052.4488888888889"/>
    <m/>
    <m/>
    <n v="0"/>
    <n v="0"/>
    <m/>
    <m/>
    <m/>
    <m/>
    <m/>
    <m/>
    <m/>
    <m/>
    <n v="0"/>
    <n v="0"/>
    <n v="0"/>
    <n v="0"/>
    <n v="1061.1521777777778"/>
    <n v="1052.4488888888889"/>
  </r>
  <r>
    <x v="10"/>
    <s v="Francis Tuttle Technology Center                  "/>
    <n v="245999"/>
    <x v="9"/>
    <s v="sem"/>
    <m/>
    <m/>
    <m/>
    <m/>
    <m/>
    <m/>
    <m/>
    <m/>
    <m/>
    <n v="0"/>
    <n v="0"/>
    <n v="0"/>
    <n v="0"/>
    <m/>
    <m/>
    <n v="0"/>
    <n v="0"/>
    <m/>
    <m/>
    <m/>
    <m/>
    <m/>
    <m/>
    <n v="1856749.05"/>
    <n v="1618715"/>
    <n v="1856749.05"/>
    <n v="2063.0545000000002"/>
    <n v="1618715"/>
    <n v="1798.5722222222223"/>
    <m/>
    <m/>
    <n v="0"/>
    <n v="0"/>
    <m/>
    <m/>
    <m/>
    <m/>
    <m/>
    <m/>
    <m/>
    <m/>
    <n v="0"/>
    <n v="0"/>
    <n v="0"/>
    <n v="0"/>
    <n v="2063.0545000000002"/>
    <n v="1798.5722222222223"/>
  </r>
  <r>
    <x v="10"/>
    <s v="Great Plains Technology Center                    "/>
    <n v="364548"/>
    <x v="9"/>
    <s v="sem"/>
    <m/>
    <m/>
    <m/>
    <m/>
    <m/>
    <m/>
    <m/>
    <m/>
    <m/>
    <n v="0"/>
    <n v="0"/>
    <n v="0"/>
    <n v="0"/>
    <m/>
    <m/>
    <n v="0"/>
    <n v="0"/>
    <m/>
    <m/>
    <m/>
    <m/>
    <m/>
    <m/>
    <n v="946199.4"/>
    <n v="845922"/>
    <n v="946199.4"/>
    <n v="1051.3326666666667"/>
    <n v="845922"/>
    <n v="939.9133333333333"/>
    <m/>
    <m/>
    <n v="0"/>
    <n v="0"/>
    <m/>
    <m/>
    <m/>
    <m/>
    <m/>
    <m/>
    <m/>
    <m/>
    <n v="0"/>
    <n v="0"/>
    <n v="0"/>
    <n v="0"/>
    <n v="1051.3326666666667"/>
    <n v="939.9133333333333"/>
  </r>
  <r>
    <x v="10"/>
    <s v="Metro Technology Centers                          "/>
    <n v="363165"/>
    <x v="9"/>
    <s v="sem"/>
    <m/>
    <m/>
    <m/>
    <m/>
    <m/>
    <m/>
    <m/>
    <m/>
    <m/>
    <n v="0"/>
    <n v="0"/>
    <n v="0"/>
    <n v="0"/>
    <m/>
    <m/>
    <n v="0"/>
    <n v="0"/>
    <m/>
    <m/>
    <m/>
    <m/>
    <m/>
    <m/>
    <n v="1385602.75"/>
    <n v="1233523"/>
    <n v="1385602.75"/>
    <n v="1539.5586111111111"/>
    <n v="1233523"/>
    <n v="1370.5811111111111"/>
    <m/>
    <m/>
    <n v="0"/>
    <n v="0"/>
    <m/>
    <m/>
    <m/>
    <m/>
    <m/>
    <m/>
    <m/>
    <m/>
    <n v="0"/>
    <n v="0"/>
    <n v="0"/>
    <n v="0"/>
    <n v="1539.5586111111111"/>
    <n v="1370.5811111111111"/>
  </r>
  <r>
    <x v="10"/>
    <s v="Tulsa Technology Center-Broken Arrow Campus       "/>
    <n v="261393"/>
    <x v="9"/>
    <s v="sem"/>
    <m/>
    <m/>
    <m/>
    <m/>
    <m/>
    <m/>
    <m/>
    <m/>
    <m/>
    <n v="0"/>
    <n v="0"/>
    <n v="0"/>
    <n v="0"/>
    <m/>
    <m/>
    <n v="0"/>
    <n v="0"/>
    <m/>
    <m/>
    <m/>
    <m/>
    <m/>
    <m/>
    <n v="972189.6"/>
    <n v="762882"/>
    <n v="972189.6"/>
    <n v="1080.2106666666666"/>
    <n v="762882"/>
    <n v="847.64666666666665"/>
    <m/>
    <m/>
    <n v="0"/>
    <n v="0"/>
    <m/>
    <m/>
    <m/>
    <m/>
    <m/>
    <m/>
    <m/>
    <m/>
    <n v="0"/>
    <n v="0"/>
    <n v="0"/>
    <n v="0"/>
    <n v="1080.2106666666666"/>
    <n v="847.64666666666665"/>
  </r>
  <r>
    <x v="10"/>
    <s v="Autry Technology Center                           "/>
    <n v="365213"/>
    <x v="10"/>
    <s v="sem"/>
    <m/>
    <m/>
    <m/>
    <m/>
    <m/>
    <m/>
    <m/>
    <m/>
    <m/>
    <n v="0"/>
    <n v="0"/>
    <n v="0"/>
    <n v="0"/>
    <m/>
    <m/>
    <n v="0"/>
    <n v="0"/>
    <m/>
    <m/>
    <m/>
    <m/>
    <m/>
    <m/>
    <n v="489328.79"/>
    <n v="474930"/>
    <n v="489328.79"/>
    <n v="543.69865555555555"/>
    <n v="474930"/>
    <n v="527.70000000000005"/>
    <m/>
    <m/>
    <n v="0"/>
    <n v="0"/>
    <m/>
    <m/>
    <m/>
    <m/>
    <m/>
    <m/>
    <m/>
    <m/>
    <n v="0"/>
    <n v="0"/>
    <n v="0"/>
    <n v="0"/>
    <n v="543.69865555555555"/>
    <n v="527.70000000000005"/>
  </r>
  <r>
    <x v="10"/>
    <s v="Caddo Kiowa Technology Center                     "/>
    <n v="364946"/>
    <x v="10"/>
    <s v="sem"/>
    <m/>
    <m/>
    <m/>
    <m/>
    <m/>
    <m/>
    <m/>
    <m/>
    <m/>
    <n v="0"/>
    <n v="0"/>
    <n v="0"/>
    <n v="0"/>
    <m/>
    <m/>
    <n v="0"/>
    <n v="0"/>
    <m/>
    <m/>
    <m/>
    <m/>
    <m/>
    <m/>
    <n v="389053.5"/>
    <n v="383883"/>
    <n v="389053.5"/>
    <n v="432.28166666666669"/>
    <n v="383883"/>
    <n v="426.53666666666669"/>
    <m/>
    <m/>
    <n v="0"/>
    <n v="0"/>
    <m/>
    <m/>
    <m/>
    <m/>
    <m/>
    <m/>
    <m/>
    <m/>
    <n v="0"/>
    <n v="0"/>
    <n v="0"/>
    <n v="0"/>
    <n v="432.28166666666669"/>
    <n v="426.53666666666669"/>
  </r>
  <r>
    <x v="10"/>
    <s v="Central Technology Center                         "/>
    <n v="246017"/>
    <x v="10"/>
    <s v="sem"/>
    <m/>
    <m/>
    <m/>
    <m/>
    <m/>
    <m/>
    <m/>
    <m/>
    <m/>
    <n v="0"/>
    <n v="0"/>
    <n v="0"/>
    <n v="0"/>
    <m/>
    <m/>
    <n v="0"/>
    <n v="0"/>
    <m/>
    <m/>
    <m/>
    <m/>
    <m/>
    <m/>
    <n v="742077.04"/>
    <n v="774260"/>
    <n v="742077.04"/>
    <n v="824.53004444444446"/>
    <n v="774260"/>
    <n v="860.28888888888889"/>
    <m/>
    <m/>
    <n v="0"/>
    <n v="0"/>
    <m/>
    <m/>
    <m/>
    <m/>
    <m/>
    <m/>
    <m/>
    <m/>
    <n v="0"/>
    <n v="0"/>
    <n v="0"/>
    <n v="0"/>
    <n v="824.53004444444446"/>
    <n v="860.28888888888889"/>
  </r>
  <r>
    <x v="10"/>
    <s v="Chisholm Trail Technology Center                  "/>
    <n v="375656"/>
    <x v="10"/>
    <s v="sem"/>
    <m/>
    <m/>
    <m/>
    <m/>
    <m/>
    <m/>
    <m/>
    <m/>
    <m/>
    <n v="0"/>
    <n v="0"/>
    <n v="0"/>
    <n v="0"/>
    <m/>
    <m/>
    <n v="0"/>
    <n v="0"/>
    <m/>
    <m/>
    <m/>
    <m/>
    <m/>
    <m/>
    <n v="78293.25"/>
    <n v="78196"/>
    <n v="78293.25"/>
    <n v="86.992500000000007"/>
    <n v="78196"/>
    <n v="86.884444444444441"/>
    <m/>
    <m/>
    <n v="0"/>
    <n v="0"/>
    <m/>
    <m/>
    <m/>
    <m/>
    <m/>
    <m/>
    <m/>
    <m/>
    <n v="0"/>
    <n v="0"/>
    <n v="0"/>
    <n v="0"/>
    <n v="86.992500000000007"/>
    <n v="86.884444444444441"/>
  </r>
  <r>
    <x v="10"/>
    <s v="Eastern Oklahoma County Technology Center         "/>
    <n v="418348"/>
    <x v="10"/>
    <s v="sem"/>
    <m/>
    <m/>
    <m/>
    <m/>
    <m/>
    <m/>
    <m/>
    <m/>
    <m/>
    <n v="0"/>
    <n v="0"/>
    <n v="0"/>
    <n v="0"/>
    <m/>
    <m/>
    <n v="0"/>
    <n v="0"/>
    <m/>
    <m/>
    <m/>
    <m/>
    <m/>
    <m/>
    <n v="346572.5"/>
    <n v="375453"/>
    <n v="346572.5"/>
    <n v="385.08055555555558"/>
    <n v="375453"/>
    <n v="417.17"/>
    <m/>
    <m/>
    <n v="0"/>
    <n v="0"/>
    <m/>
    <m/>
    <m/>
    <m/>
    <m/>
    <m/>
    <m/>
    <m/>
    <n v="0"/>
    <n v="0"/>
    <n v="0"/>
    <n v="0"/>
    <n v="385.08055555555558"/>
    <n v="417.17"/>
  </r>
  <r>
    <x v="10"/>
    <s v="Gordon Cooper Technology Center                   "/>
    <n v="375683"/>
    <x v="10"/>
    <s v="sem"/>
    <m/>
    <m/>
    <m/>
    <m/>
    <m/>
    <m/>
    <m/>
    <m/>
    <m/>
    <n v="0"/>
    <n v="0"/>
    <n v="0"/>
    <n v="0"/>
    <m/>
    <m/>
    <n v="0"/>
    <n v="0"/>
    <m/>
    <m/>
    <m/>
    <m/>
    <m/>
    <m/>
    <n v="638792.25"/>
    <n v="537252"/>
    <n v="638792.25"/>
    <n v="709.76916666666671"/>
    <n v="537252"/>
    <n v="596.94666666666672"/>
    <m/>
    <m/>
    <n v="0"/>
    <n v="0"/>
    <m/>
    <m/>
    <m/>
    <m/>
    <m/>
    <m/>
    <m/>
    <m/>
    <n v="0"/>
    <n v="0"/>
    <n v="0"/>
    <n v="0"/>
    <n v="709.76916666666671"/>
    <n v="596.94666666666672"/>
  </r>
  <r>
    <x v="10"/>
    <s v="Green Country Technology Center                   "/>
    <n v="428019"/>
    <x v="10"/>
    <s v="sem"/>
    <m/>
    <m/>
    <m/>
    <m/>
    <m/>
    <m/>
    <m/>
    <m/>
    <m/>
    <n v="0"/>
    <n v="0"/>
    <n v="0"/>
    <n v="0"/>
    <m/>
    <m/>
    <n v="0"/>
    <n v="0"/>
    <m/>
    <m/>
    <m/>
    <m/>
    <m/>
    <m/>
    <n v="209785"/>
    <n v="209413"/>
    <n v="209785"/>
    <n v="233.09444444444443"/>
    <n v="209413"/>
    <n v="232.68111111111111"/>
    <m/>
    <m/>
    <n v="0"/>
    <n v="0"/>
    <m/>
    <m/>
    <m/>
    <m/>
    <m/>
    <m/>
    <m/>
    <m/>
    <n v="0"/>
    <n v="0"/>
    <n v="0"/>
    <n v="0"/>
    <n v="233.09444444444443"/>
    <n v="232.68111111111111"/>
  </r>
  <r>
    <x v="10"/>
    <s v="High Plains Technology Center                     "/>
    <n v="208053"/>
    <x v="10"/>
    <s v="sem"/>
    <m/>
    <m/>
    <m/>
    <m/>
    <m/>
    <m/>
    <m/>
    <m/>
    <m/>
    <n v="0"/>
    <n v="0"/>
    <n v="0"/>
    <n v="0"/>
    <m/>
    <m/>
    <n v="0"/>
    <n v="0"/>
    <m/>
    <m/>
    <m/>
    <m/>
    <m/>
    <m/>
    <n v="278161.5"/>
    <n v="225215"/>
    <n v="278161.5"/>
    <n v="309.06833333333333"/>
    <n v="225215"/>
    <n v="250.23888888888888"/>
    <m/>
    <m/>
    <n v="0"/>
    <n v="0"/>
    <m/>
    <m/>
    <m/>
    <m/>
    <m/>
    <m/>
    <m/>
    <m/>
    <n v="0"/>
    <n v="0"/>
    <n v="0"/>
    <n v="0"/>
    <n v="309.06833333333333"/>
    <n v="250.23888888888888"/>
  </r>
  <r>
    <x v="10"/>
    <s v="Indian Capital Technology Center-Muskogee         "/>
    <n v="418296"/>
    <x v="10"/>
    <s v="sem"/>
    <m/>
    <m/>
    <m/>
    <m/>
    <m/>
    <m/>
    <m/>
    <m/>
    <m/>
    <n v="0"/>
    <n v="0"/>
    <n v="0"/>
    <n v="0"/>
    <m/>
    <m/>
    <n v="0"/>
    <n v="0"/>
    <m/>
    <m/>
    <m/>
    <m/>
    <m/>
    <m/>
    <n v="530796"/>
    <n v="502138"/>
    <n v="530796"/>
    <n v="589.77333333333331"/>
    <n v="502138"/>
    <n v="557.93111111111114"/>
    <m/>
    <m/>
    <n v="0"/>
    <n v="0"/>
    <m/>
    <m/>
    <m/>
    <m/>
    <m/>
    <m/>
    <m/>
    <m/>
    <n v="0"/>
    <n v="0"/>
    <n v="0"/>
    <n v="0"/>
    <n v="589.77333333333331"/>
    <n v="557.93111111111114"/>
  </r>
  <r>
    <x v="10"/>
    <s v="Indian Capital Technology Center-Sallisaw         "/>
    <n v="421540"/>
    <x v="10"/>
    <s v="sem"/>
    <m/>
    <m/>
    <m/>
    <m/>
    <m/>
    <m/>
    <m/>
    <m/>
    <m/>
    <n v="0"/>
    <n v="0"/>
    <n v="0"/>
    <n v="0"/>
    <m/>
    <m/>
    <n v="0"/>
    <n v="0"/>
    <m/>
    <m/>
    <m/>
    <m/>
    <m/>
    <m/>
    <n v="176953.5"/>
    <n v="162028"/>
    <n v="176953.5"/>
    <n v="196.61500000000001"/>
    <n v="162028"/>
    <n v="180.0311111111111"/>
    <m/>
    <m/>
    <n v="0"/>
    <n v="0"/>
    <m/>
    <m/>
    <m/>
    <m/>
    <m/>
    <m/>
    <m/>
    <m/>
    <n v="0"/>
    <n v="0"/>
    <n v="0"/>
    <n v="0"/>
    <n v="196.61500000000001"/>
    <n v="180.0311111111111"/>
  </r>
  <r>
    <x v="10"/>
    <s v="Indian Capital Technology Center-Stilwell         "/>
    <n v="421559"/>
    <x v="10"/>
    <s v="sem"/>
    <m/>
    <m/>
    <m/>
    <m/>
    <m/>
    <m/>
    <m/>
    <m/>
    <m/>
    <n v="0"/>
    <n v="0"/>
    <n v="0"/>
    <n v="0"/>
    <m/>
    <m/>
    <n v="0"/>
    <n v="0"/>
    <m/>
    <m/>
    <m/>
    <m/>
    <m/>
    <m/>
    <n v="96409.75"/>
    <n v="102296"/>
    <n v="96409.75"/>
    <n v="107.12194444444444"/>
    <n v="102296"/>
    <n v="113.66222222222223"/>
    <m/>
    <m/>
    <n v="0"/>
    <n v="0"/>
    <m/>
    <m/>
    <m/>
    <m/>
    <m/>
    <m/>
    <m/>
    <m/>
    <n v="0"/>
    <n v="0"/>
    <n v="0"/>
    <n v="0"/>
    <n v="107.12194444444444"/>
    <n v="113.66222222222223"/>
  </r>
  <r>
    <x v="10"/>
    <s v="Indian Capital Technology Center-Tahlequah        "/>
    <n v="208026"/>
    <x v="10"/>
    <s v="sem"/>
    <m/>
    <m/>
    <m/>
    <m/>
    <m/>
    <m/>
    <m/>
    <m/>
    <m/>
    <n v="0"/>
    <n v="0"/>
    <n v="0"/>
    <n v="0"/>
    <m/>
    <m/>
    <n v="0"/>
    <n v="0"/>
    <m/>
    <m/>
    <m/>
    <m/>
    <m/>
    <m/>
    <n v="193509.75"/>
    <n v="245947"/>
    <n v="193509.75"/>
    <n v="215.01083333333332"/>
    <n v="245947"/>
    <n v="273.27444444444444"/>
    <m/>
    <m/>
    <n v="0"/>
    <n v="0"/>
    <m/>
    <m/>
    <m/>
    <m/>
    <m/>
    <m/>
    <m/>
    <m/>
    <n v="0"/>
    <n v="0"/>
    <n v="0"/>
    <n v="0"/>
    <n v="215.01083333333332"/>
    <n v="273.27444444444444"/>
  </r>
  <r>
    <x v="10"/>
    <s v="Kiamichi Technology Center-Atoka                  "/>
    <n v="375692"/>
    <x v="10"/>
    <s v="sem"/>
    <m/>
    <m/>
    <m/>
    <m/>
    <m/>
    <m/>
    <m/>
    <m/>
    <m/>
    <n v="0"/>
    <n v="0"/>
    <n v="0"/>
    <n v="0"/>
    <m/>
    <m/>
    <n v="0"/>
    <n v="0"/>
    <m/>
    <m/>
    <m/>
    <m/>
    <m/>
    <m/>
    <n v="138150"/>
    <n v="158591"/>
    <n v="138150"/>
    <n v="153.5"/>
    <n v="158591"/>
    <n v="176.21222222222221"/>
    <m/>
    <m/>
    <n v="0"/>
    <n v="0"/>
    <m/>
    <m/>
    <m/>
    <m/>
    <m/>
    <m/>
    <m/>
    <m/>
    <n v="0"/>
    <n v="0"/>
    <n v="0"/>
    <n v="0"/>
    <n v="153.5"/>
    <n v="176.21222222222221"/>
  </r>
  <r>
    <x v="10"/>
    <s v="Kiamichi Technology Center-Durant                 "/>
    <n v="375708"/>
    <x v="10"/>
    <s v="sem"/>
    <m/>
    <m/>
    <m/>
    <m/>
    <m/>
    <m/>
    <m/>
    <m/>
    <m/>
    <n v="0"/>
    <n v="0"/>
    <n v="0"/>
    <n v="0"/>
    <m/>
    <m/>
    <n v="0"/>
    <n v="0"/>
    <m/>
    <m/>
    <m/>
    <m/>
    <m/>
    <m/>
    <n v="268212.71999999997"/>
    <n v="213990"/>
    <n v="268212.71999999997"/>
    <n v="298.01413333333329"/>
    <n v="213990"/>
    <n v="237.76666666666668"/>
    <m/>
    <m/>
    <n v="0"/>
    <n v="0"/>
    <m/>
    <m/>
    <m/>
    <m/>
    <m/>
    <m/>
    <m/>
    <m/>
    <n v="0"/>
    <n v="0"/>
    <n v="0"/>
    <n v="0"/>
    <n v="298.01413333333329"/>
    <n v="237.76666666666668"/>
  </r>
  <r>
    <x v="10"/>
    <s v="Kiamichi Technology Center-Hugo                   "/>
    <n v="375717"/>
    <x v="10"/>
    <s v="sem"/>
    <m/>
    <m/>
    <m/>
    <m/>
    <m/>
    <m/>
    <m/>
    <m/>
    <m/>
    <n v="0"/>
    <n v="0"/>
    <n v="0"/>
    <n v="0"/>
    <m/>
    <m/>
    <n v="0"/>
    <n v="0"/>
    <m/>
    <m/>
    <m/>
    <m/>
    <m/>
    <m/>
    <n v="164520.5"/>
    <n v="181295"/>
    <n v="164520.5"/>
    <n v="182.80055555555555"/>
    <n v="181295"/>
    <n v="201.4388888888889"/>
    <m/>
    <m/>
    <n v="0"/>
    <n v="0"/>
    <m/>
    <m/>
    <m/>
    <m/>
    <m/>
    <m/>
    <m/>
    <m/>
    <n v="0"/>
    <n v="0"/>
    <n v="0"/>
    <n v="0"/>
    <n v="182.80055555555555"/>
    <n v="201.4388888888889"/>
  </r>
  <r>
    <x v="10"/>
    <s v="Kiamichi Technology Center-Idabel                 "/>
    <n v="375735"/>
    <x v="10"/>
    <s v="sem"/>
    <m/>
    <m/>
    <m/>
    <m/>
    <m/>
    <m/>
    <m/>
    <m/>
    <m/>
    <n v="0"/>
    <n v="0"/>
    <n v="0"/>
    <n v="0"/>
    <m/>
    <m/>
    <n v="0"/>
    <n v="0"/>
    <m/>
    <m/>
    <m/>
    <m/>
    <m/>
    <m/>
    <n v="218790.5"/>
    <n v="210291"/>
    <n v="218790.5"/>
    <n v="243.10055555555556"/>
    <n v="210291"/>
    <n v="233.65666666666667"/>
    <m/>
    <m/>
    <n v="0"/>
    <n v="0"/>
    <m/>
    <m/>
    <m/>
    <m/>
    <m/>
    <m/>
    <m/>
    <m/>
    <n v="0"/>
    <n v="0"/>
    <n v="0"/>
    <n v="0"/>
    <n v="243.10055555555556"/>
    <n v="233.65666666666667"/>
  </r>
  <r>
    <x v="10"/>
    <s v="Kiamichi Technology Center-McAlester              "/>
    <n v="375726"/>
    <x v="10"/>
    <s v="sem"/>
    <m/>
    <m/>
    <m/>
    <m/>
    <m/>
    <m/>
    <m/>
    <m/>
    <m/>
    <n v="0"/>
    <n v="0"/>
    <n v="0"/>
    <n v="0"/>
    <m/>
    <m/>
    <n v="0"/>
    <n v="0"/>
    <m/>
    <m/>
    <m/>
    <m/>
    <m/>
    <m/>
    <n v="283243"/>
    <n v="294008"/>
    <n v="283243"/>
    <n v="314.71444444444444"/>
    <n v="294008"/>
    <n v="326.67555555555555"/>
    <m/>
    <m/>
    <n v="0"/>
    <n v="0"/>
    <m/>
    <m/>
    <m/>
    <m/>
    <m/>
    <m/>
    <m/>
    <m/>
    <n v="0"/>
    <n v="0"/>
    <n v="0"/>
    <n v="0"/>
    <n v="314.71444444444444"/>
    <n v="326.67555555555555"/>
  </r>
  <r>
    <x v="10"/>
    <s v="Kiamichi Technology Center-Poteau                 "/>
    <n v="375744"/>
    <x v="10"/>
    <s v="sem"/>
    <m/>
    <m/>
    <m/>
    <m/>
    <m/>
    <m/>
    <m/>
    <m/>
    <m/>
    <n v="0"/>
    <n v="0"/>
    <n v="0"/>
    <n v="0"/>
    <m/>
    <m/>
    <n v="0"/>
    <n v="0"/>
    <m/>
    <m/>
    <m/>
    <m/>
    <m/>
    <m/>
    <n v="299304"/>
    <n v="298643"/>
    <n v="299304"/>
    <n v="332.56"/>
    <n v="298643"/>
    <n v="331.82555555555558"/>
    <m/>
    <m/>
    <n v="0"/>
    <n v="0"/>
    <m/>
    <m/>
    <m/>
    <m/>
    <m/>
    <m/>
    <m/>
    <m/>
    <n v="0"/>
    <n v="0"/>
    <n v="0"/>
    <n v="0"/>
    <n v="332.56"/>
    <n v="331.82555555555558"/>
  </r>
  <r>
    <x v="10"/>
    <s v="Kiamichi Technology Center-Spiro                  "/>
    <n v="375753"/>
    <x v="10"/>
    <s v="sem"/>
    <m/>
    <m/>
    <m/>
    <m/>
    <m/>
    <m/>
    <m/>
    <m/>
    <m/>
    <n v="0"/>
    <n v="0"/>
    <n v="0"/>
    <n v="0"/>
    <m/>
    <m/>
    <n v="0"/>
    <n v="0"/>
    <m/>
    <m/>
    <m/>
    <m/>
    <m/>
    <m/>
    <n v="32781"/>
    <n v="30123"/>
    <n v="32781"/>
    <n v="36.423333333333332"/>
    <n v="30123"/>
    <n v="33.47"/>
    <m/>
    <m/>
    <n v="0"/>
    <n v="0"/>
    <m/>
    <m/>
    <m/>
    <m/>
    <m/>
    <m/>
    <m/>
    <m/>
    <n v="0"/>
    <n v="0"/>
    <n v="0"/>
    <n v="0"/>
    <n v="36.423333333333332"/>
    <n v="33.47"/>
  </r>
  <r>
    <x v="10"/>
    <s v="Kiamichi Technology Center-Stigler                "/>
    <n v="405748"/>
    <x v="10"/>
    <s v="sem"/>
    <m/>
    <m/>
    <m/>
    <m/>
    <m/>
    <m/>
    <m/>
    <m/>
    <m/>
    <n v="0"/>
    <n v="0"/>
    <n v="0"/>
    <n v="0"/>
    <m/>
    <m/>
    <n v="0"/>
    <n v="0"/>
    <m/>
    <m/>
    <m/>
    <m/>
    <m/>
    <m/>
    <n v="82830.25"/>
    <n v="78162"/>
    <n v="82830.25"/>
    <n v="92.033611111111114"/>
    <n v="78162"/>
    <n v="86.846666666666664"/>
    <m/>
    <m/>
    <n v="0"/>
    <n v="0"/>
    <m/>
    <m/>
    <m/>
    <m/>
    <m/>
    <m/>
    <m/>
    <m/>
    <n v="0"/>
    <n v="0"/>
    <n v="0"/>
    <n v="0"/>
    <n v="92.033611111111114"/>
    <n v="86.846666666666664"/>
  </r>
  <r>
    <x v="10"/>
    <s v="Kiamichi Technology Center-Talihina               "/>
    <n v="375762"/>
    <x v="10"/>
    <s v="sem"/>
    <m/>
    <m/>
    <m/>
    <m/>
    <m/>
    <m/>
    <m/>
    <m/>
    <m/>
    <n v="0"/>
    <n v="0"/>
    <n v="0"/>
    <n v="0"/>
    <m/>
    <m/>
    <n v="0"/>
    <n v="0"/>
    <m/>
    <m/>
    <m/>
    <m/>
    <m/>
    <m/>
    <n v="111498"/>
    <n v="70666"/>
    <n v="111498"/>
    <n v="123.88666666666667"/>
    <n v="70666"/>
    <n v="78.517777777777781"/>
    <m/>
    <m/>
    <n v="0"/>
    <n v="0"/>
    <m/>
    <m/>
    <m/>
    <m/>
    <m/>
    <m/>
    <m/>
    <m/>
    <n v="0"/>
    <n v="0"/>
    <n v="0"/>
    <n v="0"/>
    <n v="123.88666666666667"/>
    <n v="78.517777777777781"/>
  </r>
  <r>
    <x v="10"/>
    <s v="Meridian Technology Center                        "/>
    <n v="365480"/>
    <x v="10"/>
    <s v="sem"/>
    <m/>
    <m/>
    <m/>
    <m/>
    <m/>
    <m/>
    <m/>
    <m/>
    <m/>
    <n v="0"/>
    <n v="0"/>
    <n v="0"/>
    <n v="0"/>
    <m/>
    <m/>
    <n v="0"/>
    <n v="0"/>
    <m/>
    <m/>
    <m/>
    <m/>
    <m/>
    <m/>
    <n v="471353.1"/>
    <n v="453593"/>
    <n v="471353.1"/>
    <n v="523.7256666666666"/>
    <n v="453593"/>
    <n v="503.99222222222221"/>
    <m/>
    <m/>
    <n v="0"/>
    <n v="0"/>
    <m/>
    <m/>
    <m/>
    <m/>
    <m/>
    <m/>
    <m/>
    <m/>
    <n v="0"/>
    <n v="0"/>
    <n v="0"/>
    <n v="0"/>
    <n v="523.7256666666666"/>
    <n v="503.99222222222221"/>
  </r>
  <r>
    <x v="10"/>
    <s v="Mid-America Technology Center                     "/>
    <n v="418320"/>
    <x v="10"/>
    <s v="sem"/>
    <m/>
    <m/>
    <m/>
    <m/>
    <m/>
    <m/>
    <m/>
    <m/>
    <m/>
    <n v="0"/>
    <n v="0"/>
    <n v="0"/>
    <n v="0"/>
    <m/>
    <m/>
    <n v="0"/>
    <n v="0"/>
    <m/>
    <m/>
    <m/>
    <m/>
    <m/>
    <m/>
    <n v="448166.75"/>
    <n v="476364"/>
    <n v="448166.75"/>
    <n v="497.96305555555557"/>
    <n v="476364"/>
    <n v="529.29333333333329"/>
    <m/>
    <m/>
    <n v="0"/>
    <n v="0"/>
    <m/>
    <m/>
    <m/>
    <m/>
    <m/>
    <m/>
    <m/>
    <m/>
    <n v="0"/>
    <n v="0"/>
    <n v="0"/>
    <n v="0"/>
    <n v="497.96305555555557"/>
    <n v="529.29333333333329"/>
  </r>
  <r>
    <x v="10"/>
    <s v="Mid-Del Technology Center                         "/>
    <n v="431017"/>
    <x v="10"/>
    <s v="sem"/>
    <m/>
    <m/>
    <m/>
    <m/>
    <m/>
    <m/>
    <m/>
    <m/>
    <m/>
    <n v="0"/>
    <n v="0"/>
    <n v="0"/>
    <n v="0"/>
    <m/>
    <m/>
    <n v="0"/>
    <n v="0"/>
    <m/>
    <m/>
    <m/>
    <m/>
    <m/>
    <m/>
    <n v="466376.75"/>
    <n v="454187"/>
    <n v="466376.75"/>
    <n v="518.19638888888892"/>
    <n v="454187"/>
    <n v="504.65222222222224"/>
    <m/>
    <m/>
    <n v="0"/>
    <n v="0"/>
    <m/>
    <m/>
    <m/>
    <m/>
    <m/>
    <m/>
    <m/>
    <m/>
    <n v="0"/>
    <n v="0"/>
    <n v="0"/>
    <n v="0"/>
    <n v="518.19638888888892"/>
    <n v="504.65222222222224"/>
  </r>
  <r>
    <x v="10"/>
    <s v="Moore Norman Technology Center                    "/>
    <n v="248606"/>
    <x v="10"/>
    <s v="sem"/>
    <m/>
    <m/>
    <m/>
    <m/>
    <m/>
    <m/>
    <m/>
    <m/>
    <m/>
    <n v="0"/>
    <n v="0"/>
    <n v="0"/>
    <n v="0"/>
    <m/>
    <m/>
    <n v="0"/>
    <n v="0"/>
    <m/>
    <m/>
    <m/>
    <m/>
    <m/>
    <m/>
    <n v="882600.57"/>
    <n v="897460"/>
    <n v="882600.57"/>
    <n v="980.66729999999995"/>
    <n v="897460"/>
    <n v="997.17777777777781"/>
    <m/>
    <m/>
    <n v="0"/>
    <n v="0"/>
    <m/>
    <m/>
    <m/>
    <m/>
    <m/>
    <m/>
    <m/>
    <m/>
    <n v="0"/>
    <n v="0"/>
    <n v="0"/>
    <n v="0"/>
    <n v="980.66729999999995"/>
    <n v="997.17777777777781"/>
  </r>
  <r>
    <x v="10"/>
    <s v="Northeast Technology Center-Afton                 "/>
    <n v="420459"/>
    <x v="10"/>
    <s v="sem"/>
    <m/>
    <m/>
    <m/>
    <m/>
    <m/>
    <m/>
    <m/>
    <m/>
    <m/>
    <n v="0"/>
    <n v="0"/>
    <n v="0"/>
    <n v="0"/>
    <m/>
    <m/>
    <n v="0"/>
    <n v="0"/>
    <m/>
    <m/>
    <m/>
    <m/>
    <m/>
    <m/>
    <n v="352445.25"/>
    <n v="329985"/>
    <n v="352445.25"/>
    <n v="391.60583333333335"/>
    <n v="329985"/>
    <n v="366.65"/>
    <m/>
    <m/>
    <n v="0"/>
    <n v="0"/>
    <m/>
    <m/>
    <m/>
    <m/>
    <m/>
    <m/>
    <m/>
    <m/>
    <n v="0"/>
    <n v="0"/>
    <n v="0"/>
    <n v="0"/>
    <n v="391.60583333333335"/>
    <n v="366.65"/>
  </r>
  <r>
    <x v="10"/>
    <s v="Northeast Technology Center-Kansas                "/>
    <n v="432074"/>
    <x v="10"/>
    <s v="sem"/>
    <m/>
    <m/>
    <m/>
    <m/>
    <m/>
    <m/>
    <m/>
    <m/>
    <m/>
    <n v="0"/>
    <n v="0"/>
    <n v="0"/>
    <n v="0"/>
    <m/>
    <m/>
    <n v="0"/>
    <n v="0"/>
    <m/>
    <m/>
    <m/>
    <m/>
    <m/>
    <m/>
    <n v="136361.45000000001"/>
    <n v="156208"/>
    <n v="136361.45000000001"/>
    <n v="151.51272222222224"/>
    <n v="156208"/>
    <n v="173.56444444444443"/>
    <m/>
    <m/>
    <n v="0"/>
    <n v="0"/>
    <m/>
    <m/>
    <m/>
    <m/>
    <m/>
    <m/>
    <m/>
    <m/>
    <n v="0"/>
    <n v="0"/>
    <n v="0"/>
    <n v="0"/>
    <n v="151.51272222222224"/>
    <n v="173.56444444444443"/>
  </r>
  <r>
    <x v="10"/>
    <s v="Northeast Technology Center-Pryor                 "/>
    <n v="418339"/>
    <x v="10"/>
    <s v="sem"/>
    <m/>
    <m/>
    <m/>
    <m/>
    <m/>
    <m/>
    <m/>
    <m/>
    <m/>
    <n v="0"/>
    <n v="0"/>
    <n v="0"/>
    <n v="0"/>
    <m/>
    <m/>
    <n v="0"/>
    <n v="0"/>
    <m/>
    <m/>
    <m/>
    <m/>
    <m/>
    <m/>
    <n v="401717.25"/>
    <n v="346486"/>
    <n v="401717.25"/>
    <n v="446.35250000000002"/>
    <n v="346486"/>
    <n v="384.98444444444442"/>
    <m/>
    <m/>
    <n v="0"/>
    <n v="0"/>
    <m/>
    <m/>
    <m/>
    <m/>
    <m/>
    <m/>
    <m/>
    <m/>
    <n v="0"/>
    <n v="0"/>
    <n v="0"/>
    <n v="0"/>
    <n v="446.35250000000002"/>
    <n v="384.98444444444442"/>
  </r>
  <r>
    <x v="10"/>
    <s v="Northwest Technology Center-Alva                  "/>
    <n v="366623"/>
    <x v="10"/>
    <s v="sem"/>
    <m/>
    <m/>
    <m/>
    <m/>
    <m/>
    <m/>
    <m/>
    <m/>
    <m/>
    <n v="0"/>
    <n v="0"/>
    <n v="0"/>
    <n v="0"/>
    <m/>
    <m/>
    <n v="0"/>
    <n v="0"/>
    <m/>
    <m/>
    <m/>
    <m/>
    <m/>
    <m/>
    <n v="87422.5"/>
    <n v="81614"/>
    <n v="87422.5"/>
    <n v="97.136111111111106"/>
    <n v="81614"/>
    <n v="90.682222222222222"/>
    <m/>
    <m/>
    <n v="0"/>
    <n v="0"/>
    <m/>
    <m/>
    <m/>
    <m/>
    <m/>
    <m/>
    <m/>
    <m/>
    <n v="0"/>
    <n v="0"/>
    <n v="0"/>
    <n v="0"/>
    <n v="97.136111111111106"/>
    <n v="90.682222222222222"/>
  </r>
  <r>
    <x v="10"/>
    <s v="Northwest Technology Center-Fairview              "/>
    <n v="407601"/>
    <x v="10"/>
    <s v="sem"/>
    <m/>
    <m/>
    <m/>
    <m/>
    <m/>
    <m/>
    <m/>
    <m/>
    <m/>
    <n v="0"/>
    <n v="0"/>
    <n v="0"/>
    <n v="0"/>
    <m/>
    <m/>
    <n v="0"/>
    <n v="0"/>
    <m/>
    <m/>
    <m/>
    <m/>
    <m/>
    <m/>
    <n v="79562"/>
    <n v="75418"/>
    <n v="79562"/>
    <n v="88.402222222222221"/>
    <n v="75418"/>
    <n v="83.797777777777782"/>
    <m/>
    <m/>
    <n v="0"/>
    <n v="0"/>
    <m/>
    <m/>
    <m/>
    <m/>
    <m/>
    <m/>
    <m/>
    <m/>
    <n v="0"/>
    <n v="0"/>
    <n v="0"/>
    <n v="0"/>
    <n v="88.402222222222221"/>
    <n v="83.797777777777782"/>
  </r>
  <r>
    <x v="10"/>
    <s v="Pioneer Technology Center                         "/>
    <n v="364627"/>
    <x v="10"/>
    <s v="sem"/>
    <m/>
    <m/>
    <m/>
    <m/>
    <m/>
    <m/>
    <m/>
    <m/>
    <m/>
    <n v="0"/>
    <n v="0"/>
    <n v="0"/>
    <n v="0"/>
    <m/>
    <m/>
    <n v="0"/>
    <n v="0"/>
    <m/>
    <m/>
    <m/>
    <m/>
    <m/>
    <m/>
    <n v="308258.5"/>
    <n v="286670"/>
    <n v="308258.5"/>
    <n v="342.50944444444445"/>
    <n v="286670"/>
    <n v="318.52222222222224"/>
    <m/>
    <m/>
    <n v="0"/>
    <n v="0"/>
    <m/>
    <m/>
    <m/>
    <m/>
    <m/>
    <m/>
    <m/>
    <m/>
    <n v="0"/>
    <n v="0"/>
    <n v="0"/>
    <n v="0"/>
    <n v="342.50944444444445"/>
    <n v="318.52222222222224"/>
  </r>
  <r>
    <x v="10"/>
    <s v="Pontotoc Technology Center                        "/>
    <n v="206905"/>
    <x v="10"/>
    <s v="sem"/>
    <m/>
    <m/>
    <m/>
    <m/>
    <m/>
    <m/>
    <m/>
    <m/>
    <m/>
    <n v="0"/>
    <n v="0"/>
    <n v="0"/>
    <n v="0"/>
    <m/>
    <m/>
    <n v="0"/>
    <n v="0"/>
    <m/>
    <m/>
    <m/>
    <m/>
    <m/>
    <m/>
    <n v="227996.65"/>
    <n v="230493"/>
    <n v="227996.65"/>
    <n v="253.32961111111109"/>
    <n v="230493"/>
    <n v="256.10333333333335"/>
    <m/>
    <m/>
    <n v="0"/>
    <n v="0"/>
    <m/>
    <m/>
    <m/>
    <m/>
    <m/>
    <m/>
    <m/>
    <m/>
    <n v="0"/>
    <n v="0"/>
    <n v="0"/>
    <n v="0"/>
    <n v="253.32961111111109"/>
    <n v="256.10333333333335"/>
  </r>
  <r>
    <x v="10"/>
    <s v="Red River Technology Center                       "/>
    <n v="250993"/>
    <x v="10"/>
    <s v="sem"/>
    <m/>
    <m/>
    <m/>
    <m/>
    <m/>
    <m/>
    <m/>
    <m/>
    <m/>
    <n v="0"/>
    <n v="0"/>
    <n v="0"/>
    <n v="0"/>
    <m/>
    <m/>
    <n v="0"/>
    <n v="0"/>
    <m/>
    <m/>
    <m/>
    <m/>
    <m/>
    <m/>
    <n v="282972.75"/>
    <n v="290646"/>
    <n v="282972.75"/>
    <n v="314.41416666666669"/>
    <n v="290646"/>
    <n v="322.94"/>
    <m/>
    <m/>
    <n v="0"/>
    <n v="0"/>
    <m/>
    <m/>
    <m/>
    <m/>
    <m/>
    <m/>
    <m/>
    <m/>
    <n v="0"/>
    <n v="0"/>
    <n v="0"/>
    <n v="0"/>
    <n v="314.41416666666669"/>
    <n v="322.94"/>
  </r>
  <r>
    <x v="10"/>
    <s v="Southern Oklahoma Technology Center               "/>
    <n v="365198"/>
    <x v="10"/>
    <s v="sem"/>
    <m/>
    <m/>
    <m/>
    <m/>
    <m/>
    <m/>
    <m/>
    <m/>
    <m/>
    <n v="0"/>
    <n v="0"/>
    <n v="0"/>
    <n v="0"/>
    <m/>
    <m/>
    <n v="0"/>
    <n v="0"/>
    <m/>
    <m/>
    <m/>
    <m/>
    <m/>
    <m/>
    <n v="344932"/>
    <n v="330854"/>
    <n v="344932"/>
    <n v="383.25777777777779"/>
    <n v="330854"/>
    <n v="367.61555555555555"/>
    <m/>
    <m/>
    <n v="0"/>
    <n v="0"/>
    <m/>
    <m/>
    <m/>
    <m/>
    <m/>
    <m/>
    <m/>
    <m/>
    <n v="0"/>
    <n v="0"/>
    <n v="0"/>
    <n v="0"/>
    <n v="383.25777777777779"/>
    <n v="367.61555555555555"/>
  </r>
  <r>
    <x v="10"/>
    <s v="Southwest Technology Center                       "/>
    <n v="368364"/>
    <x v="10"/>
    <s v="sem"/>
    <m/>
    <m/>
    <m/>
    <m/>
    <m/>
    <m/>
    <m/>
    <m/>
    <m/>
    <n v="0"/>
    <n v="0"/>
    <n v="0"/>
    <n v="0"/>
    <m/>
    <m/>
    <n v="0"/>
    <n v="0"/>
    <m/>
    <m/>
    <m/>
    <m/>
    <m/>
    <m/>
    <n v="180908.98"/>
    <n v="198319"/>
    <n v="180908.98"/>
    <n v="201.00997777777778"/>
    <n v="198319"/>
    <n v="220.35444444444445"/>
    <m/>
    <m/>
    <n v="0"/>
    <n v="0"/>
    <m/>
    <m/>
    <m/>
    <m/>
    <m/>
    <m/>
    <m/>
    <m/>
    <n v="0"/>
    <n v="0"/>
    <n v="0"/>
    <n v="0"/>
    <n v="201.00997777777778"/>
    <n v="220.35444444444445"/>
  </r>
  <r>
    <x v="10"/>
    <s v="Tri County Technology Center                      "/>
    <n v="418287"/>
    <x v="10"/>
    <s v="sem"/>
    <m/>
    <m/>
    <m/>
    <m/>
    <m/>
    <m/>
    <m/>
    <m/>
    <m/>
    <n v="0"/>
    <n v="0"/>
    <n v="0"/>
    <n v="0"/>
    <m/>
    <m/>
    <n v="0"/>
    <n v="0"/>
    <m/>
    <m/>
    <m/>
    <m/>
    <m/>
    <m/>
    <n v="392395.8"/>
    <n v="404434"/>
    <n v="392395.8"/>
    <n v="435.99533333333329"/>
    <n v="404434"/>
    <n v="449.37111111111113"/>
    <m/>
    <m/>
    <n v="0"/>
    <n v="0"/>
    <m/>
    <m/>
    <m/>
    <m/>
    <m/>
    <m/>
    <m/>
    <m/>
    <n v="0"/>
    <n v="0"/>
    <n v="0"/>
    <n v="0"/>
    <n v="435.99533333333329"/>
    <n v="449.37111111111113"/>
  </r>
  <r>
    <x v="10"/>
    <s v="Tulsa County Area Voc Tech School Dist 18-Peoria  "/>
    <n v="207607"/>
    <x v="10"/>
    <s v="sem"/>
    <m/>
    <m/>
    <m/>
    <m/>
    <m/>
    <m/>
    <m/>
    <m/>
    <m/>
    <n v="0"/>
    <n v="0"/>
    <n v="0"/>
    <n v="0"/>
    <m/>
    <m/>
    <n v="0"/>
    <n v="0"/>
    <m/>
    <m/>
    <m/>
    <m/>
    <m/>
    <m/>
    <n v="374840.25"/>
    <n v="404180"/>
    <n v="374840.25"/>
    <n v="416.48916666666668"/>
    <n v="404180"/>
    <n v="449.0888888888889"/>
    <m/>
    <m/>
    <n v="0"/>
    <n v="0"/>
    <m/>
    <m/>
    <m/>
    <m/>
    <m/>
    <m/>
    <m/>
    <m/>
    <n v="0"/>
    <n v="0"/>
    <n v="0"/>
    <n v="0"/>
    <n v="416.48916666666668"/>
    <n v="449.0888888888889"/>
  </r>
  <r>
    <x v="10"/>
    <s v="Tulsa Technology Center-Lemley Campus             "/>
    <n v="261375"/>
    <x v="10"/>
    <s v="sem"/>
    <m/>
    <m/>
    <m/>
    <m/>
    <m/>
    <m/>
    <m/>
    <m/>
    <m/>
    <n v="0"/>
    <n v="0"/>
    <n v="0"/>
    <n v="0"/>
    <m/>
    <m/>
    <n v="0"/>
    <n v="0"/>
    <m/>
    <m/>
    <m/>
    <m/>
    <m/>
    <m/>
    <n v="772305.5"/>
    <n v="717091"/>
    <n v="772305.5"/>
    <n v="858.11722222222227"/>
    <n v="717091"/>
    <n v="796.76777777777772"/>
    <m/>
    <m/>
    <n v="0"/>
    <n v="0"/>
    <m/>
    <m/>
    <m/>
    <m/>
    <m/>
    <m/>
    <m/>
    <m/>
    <n v="0"/>
    <n v="0"/>
    <n v="0"/>
    <n v="0"/>
    <n v="858.11722222222227"/>
    <n v="796.76777777777772"/>
  </r>
  <r>
    <x v="10"/>
    <s v="Tulsa Technology Center-Riverside Campus          "/>
    <n v="261384"/>
    <x v="10"/>
    <s v="sem"/>
    <m/>
    <m/>
    <m/>
    <m/>
    <m/>
    <m/>
    <m/>
    <m/>
    <m/>
    <n v="0"/>
    <n v="0"/>
    <n v="0"/>
    <n v="0"/>
    <m/>
    <m/>
    <n v="0"/>
    <n v="0"/>
    <m/>
    <m/>
    <m/>
    <m/>
    <m/>
    <m/>
    <n v="386058.75"/>
    <n v="373497"/>
    <n v="386058.75"/>
    <n v="428.95416666666665"/>
    <n v="373497"/>
    <n v="414.99666666666667"/>
    <m/>
    <m/>
    <n v="0"/>
    <n v="0"/>
    <m/>
    <m/>
    <m/>
    <m/>
    <m/>
    <m/>
    <m/>
    <m/>
    <n v="0"/>
    <n v="0"/>
    <n v="0"/>
    <n v="0"/>
    <n v="428.95416666666665"/>
    <n v="414.99666666666667"/>
  </r>
  <r>
    <x v="10"/>
    <s v="Wes Watkins Technology Center                     "/>
    <n v="418357"/>
    <x v="10"/>
    <s v="sem"/>
    <m/>
    <m/>
    <m/>
    <m/>
    <m/>
    <m/>
    <m/>
    <m/>
    <m/>
    <n v="0"/>
    <n v="0"/>
    <n v="0"/>
    <n v="0"/>
    <m/>
    <m/>
    <n v="0"/>
    <n v="0"/>
    <m/>
    <m/>
    <m/>
    <m/>
    <m/>
    <m/>
    <n v="181083.75"/>
    <n v="165237"/>
    <n v="181083.75"/>
    <n v="201.20416666666668"/>
    <n v="165237"/>
    <n v="183.59666666666666"/>
    <m/>
    <m/>
    <n v="0"/>
    <n v="0"/>
    <m/>
    <m/>
    <m/>
    <m/>
    <m/>
    <m/>
    <m/>
    <m/>
    <n v="0"/>
    <n v="0"/>
    <n v="0"/>
    <n v="0"/>
    <n v="201.20416666666668"/>
    <n v="183.59666666666666"/>
  </r>
  <r>
    <x v="10"/>
    <s v="Western Technology Center                         "/>
    <n v="418302"/>
    <x v="10"/>
    <s v="sem"/>
    <m/>
    <m/>
    <m/>
    <m/>
    <m/>
    <m/>
    <m/>
    <m/>
    <m/>
    <n v="0"/>
    <n v="0"/>
    <n v="0"/>
    <n v="0"/>
    <m/>
    <m/>
    <n v="0"/>
    <n v="0"/>
    <m/>
    <m/>
    <m/>
    <m/>
    <m/>
    <m/>
    <n v="339272.54"/>
    <n v="348394"/>
    <n v="339272.54"/>
    <n v="376.96948888888886"/>
    <n v="348394"/>
    <n v="387.10444444444443"/>
    <m/>
    <m/>
    <n v="0"/>
    <n v="0"/>
    <m/>
    <m/>
    <m/>
    <m/>
    <m/>
    <m/>
    <m/>
    <m/>
    <n v="0"/>
    <n v="0"/>
    <n v="0"/>
    <n v="0"/>
    <n v="376.96948888888886"/>
    <n v="387.10444444444443"/>
  </r>
  <r>
    <x v="10"/>
    <s v="Indian Capital……..All Campuses"/>
    <m/>
    <x v="10"/>
    <s v="sem"/>
    <m/>
    <m/>
    <m/>
    <m/>
    <m/>
    <m/>
    <m/>
    <m/>
    <m/>
    <n v="0"/>
    <n v="0"/>
    <n v="0"/>
    <n v="0"/>
    <m/>
    <m/>
    <n v="0"/>
    <n v="0"/>
    <m/>
    <m/>
    <m/>
    <m/>
    <m/>
    <m/>
    <n v="1275830.5"/>
    <n v="1237624"/>
    <n v="1275830.5"/>
    <n v="1417.5894444444446"/>
    <n v="1237624"/>
    <n v="1375.1377777777777"/>
    <m/>
    <m/>
    <n v="0"/>
    <n v="0"/>
    <m/>
    <m/>
    <m/>
    <m/>
    <m/>
    <m/>
    <m/>
    <m/>
    <n v="0"/>
    <n v="0"/>
    <n v="0"/>
    <n v="0"/>
    <n v="1417.5894444444446"/>
    <n v="1375.1377777777777"/>
  </r>
  <r>
    <x v="10"/>
    <s v="Kiamichi………All Campuses"/>
    <m/>
    <x v="10"/>
    <s v="sem"/>
    <m/>
    <m/>
    <m/>
    <m/>
    <m/>
    <m/>
    <m/>
    <m/>
    <m/>
    <n v="0"/>
    <n v="0"/>
    <n v="0"/>
    <n v="0"/>
    <m/>
    <m/>
    <n v="0"/>
    <n v="0"/>
    <m/>
    <m/>
    <m/>
    <m/>
    <m/>
    <m/>
    <n v="1599329.97"/>
    <n v="1535769"/>
    <n v="1599329.97"/>
    <n v="1777.0333000000001"/>
    <n v="1535769"/>
    <n v="1706.41"/>
    <m/>
    <m/>
    <n v="0"/>
    <n v="0"/>
    <m/>
    <m/>
    <m/>
    <m/>
    <m/>
    <m/>
    <m/>
    <m/>
    <n v="0"/>
    <n v="0"/>
    <n v="0"/>
    <n v="0"/>
    <n v="1777.0333000000001"/>
    <n v="1706.41"/>
  </r>
  <r>
    <x v="10"/>
    <s v="Northeast………..All Campuses"/>
    <m/>
    <x v="10"/>
    <s v="sem"/>
    <m/>
    <m/>
    <m/>
    <m/>
    <m/>
    <m/>
    <m/>
    <m/>
    <m/>
    <n v="0"/>
    <n v="0"/>
    <n v="0"/>
    <n v="0"/>
    <m/>
    <m/>
    <n v="0"/>
    <n v="0"/>
    <m/>
    <m/>
    <m/>
    <m/>
    <m/>
    <m/>
    <n v="890523.95"/>
    <n v="832679"/>
    <n v="890523.95"/>
    <n v="989.47105555555549"/>
    <n v="832679"/>
    <n v="925.19888888888886"/>
    <m/>
    <m/>
    <n v="0"/>
    <n v="0"/>
    <m/>
    <m/>
    <m/>
    <m/>
    <m/>
    <m/>
    <m/>
    <m/>
    <n v="0"/>
    <n v="0"/>
    <n v="0"/>
    <n v="0"/>
    <n v="989.47105555555549"/>
    <n v="925.19888888888886"/>
  </r>
  <r>
    <x v="10"/>
    <s v="Northwest………..All Campuses"/>
    <m/>
    <x v="10"/>
    <s v="sem"/>
    <m/>
    <m/>
    <m/>
    <m/>
    <m/>
    <m/>
    <m/>
    <m/>
    <m/>
    <n v="0"/>
    <n v="0"/>
    <n v="0"/>
    <n v="0"/>
    <m/>
    <m/>
    <n v="0"/>
    <n v="0"/>
    <m/>
    <m/>
    <m/>
    <m/>
    <m/>
    <m/>
    <n v="166984.5"/>
    <n v="157032"/>
    <n v="166984.5"/>
    <n v="185.53833333333333"/>
    <n v="157032"/>
    <n v="174.48"/>
    <m/>
    <m/>
    <n v="0"/>
    <n v="0"/>
    <m/>
    <m/>
    <m/>
    <m/>
    <m/>
    <m/>
    <m/>
    <m/>
    <n v="0"/>
    <n v="0"/>
    <n v="0"/>
    <n v="0"/>
    <n v="185.53833333333333"/>
    <n v="174.48"/>
  </r>
  <r>
    <x v="10"/>
    <s v="Tulsa County Dist 18………..All Campuses"/>
    <m/>
    <x v="10"/>
    <s v="sem"/>
    <m/>
    <m/>
    <m/>
    <m/>
    <m/>
    <m/>
    <m/>
    <m/>
    <m/>
    <n v="0"/>
    <n v="0"/>
    <n v="0"/>
    <n v="0"/>
    <m/>
    <m/>
    <n v="0"/>
    <n v="0"/>
    <m/>
    <m/>
    <m/>
    <m/>
    <m/>
    <m/>
    <n v="1347029.85"/>
    <n v="1347029.85"/>
    <n v="1347029.85"/>
    <n v="1496.6998333333333"/>
    <n v="1347029.85"/>
    <n v="1496.6998333333333"/>
    <m/>
    <m/>
    <n v="0"/>
    <n v="0"/>
    <m/>
    <m/>
    <m/>
    <m/>
    <m/>
    <m/>
    <m/>
    <m/>
    <n v="0"/>
    <n v="0"/>
    <n v="0"/>
    <n v="0"/>
    <n v="1496.6998333333333"/>
    <n v="1496.6998333333333"/>
  </r>
  <r>
    <x v="10"/>
    <s v="Northeast Technology Center-Claremore"/>
    <s v="NEW"/>
    <x v="13"/>
    <s v="sem"/>
    <m/>
    <m/>
    <m/>
    <m/>
    <m/>
    <m/>
    <m/>
    <m/>
    <m/>
    <n v="0"/>
    <n v="0"/>
    <n v="0"/>
    <n v="0"/>
    <m/>
    <m/>
    <n v="0"/>
    <n v="0"/>
    <m/>
    <m/>
    <m/>
    <m/>
    <m/>
    <m/>
    <m/>
    <m/>
    <n v="0"/>
    <n v="0"/>
    <n v="0"/>
    <n v="0"/>
    <m/>
    <m/>
    <n v="0"/>
    <n v="0"/>
    <m/>
    <m/>
    <m/>
    <m/>
    <m/>
    <m/>
    <m/>
    <m/>
    <n v="0"/>
    <n v="0"/>
    <n v="0"/>
    <n v="0"/>
    <n v="0"/>
    <n v="0"/>
  </r>
  <r>
    <x v="11"/>
    <s v="Clemson University"/>
    <n v="217882"/>
    <x v="0"/>
    <s v="sem"/>
    <m/>
    <m/>
    <m/>
    <n v="194911"/>
    <n v="201488"/>
    <n v="27069"/>
    <n v="25277"/>
    <n v="219442"/>
    <n v="229594"/>
    <n v="441422"/>
    <n v="14714.066666666668"/>
    <n v="456359"/>
    <n v="15211.966666666667"/>
    <m/>
    <m/>
    <n v="0"/>
    <n v="0"/>
    <m/>
    <m/>
    <m/>
    <m/>
    <m/>
    <m/>
    <m/>
    <m/>
    <n v="0"/>
    <n v="0"/>
    <n v="0"/>
    <n v="0"/>
    <m/>
    <m/>
    <n v="0"/>
    <n v="0"/>
    <m/>
    <m/>
    <n v="21923"/>
    <n v="27281"/>
    <n v="9756"/>
    <n v="10374"/>
    <n v="28042"/>
    <n v="30102"/>
    <n v="59721"/>
    <n v="2488.375"/>
    <n v="67757"/>
    <n v="2823.2083333333335"/>
    <n v="17202.441666666666"/>
    <n v="18035.174999999999"/>
  </r>
  <r>
    <x v="11"/>
    <s v="University of South Carolina-Columbia"/>
    <n v="218663"/>
    <x v="0"/>
    <s v="sem"/>
    <m/>
    <m/>
    <m/>
    <n v="257902"/>
    <n v="273654"/>
    <n v="29156"/>
    <n v="28126"/>
    <n v="290459"/>
    <n v="300521"/>
    <n v="577517"/>
    <n v="19250.566666666666"/>
    <n v="602301"/>
    <n v="20076.7"/>
    <n v="88"/>
    <n v="158"/>
    <n v="577517"/>
    <n v="602301"/>
    <m/>
    <m/>
    <m/>
    <m/>
    <m/>
    <m/>
    <m/>
    <m/>
    <n v="0"/>
    <n v="0"/>
    <n v="0"/>
    <n v="0"/>
    <m/>
    <m/>
    <n v="0"/>
    <n v="0"/>
    <m/>
    <m/>
    <n v="43779"/>
    <n v="46277"/>
    <n v="17258"/>
    <n v="17504"/>
    <n v="46105"/>
    <n v="47555"/>
    <n v="107142"/>
    <n v="4464.25"/>
    <n v="111336"/>
    <n v="4639"/>
    <n v="23714.816666666666"/>
    <n v="24715.7"/>
  </r>
  <r>
    <x v="11"/>
    <s v="College of Charleston"/>
    <n v="217819"/>
    <x v="2"/>
    <s v="sem"/>
    <m/>
    <m/>
    <m/>
    <n v="131350"/>
    <n v="132430"/>
    <n v="14310"/>
    <n v="12739"/>
    <n v="138079"/>
    <n v="144192"/>
    <n v="283739"/>
    <n v="9457.9666666666672"/>
    <n v="289361"/>
    <n v="9645.3666666666668"/>
    <m/>
    <n v="315"/>
    <n v="0"/>
    <n v="289361"/>
    <m/>
    <m/>
    <m/>
    <m/>
    <m/>
    <m/>
    <m/>
    <m/>
    <n v="0"/>
    <n v="0"/>
    <n v="0"/>
    <n v="0"/>
    <m/>
    <m/>
    <n v="0"/>
    <n v="0"/>
    <m/>
    <m/>
    <n v="6166"/>
    <n v="6912"/>
    <n v="5732"/>
    <n v="5032"/>
    <n v="6973"/>
    <n v="6675"/>
    <n v="18871"/>
    <n v="786.29166666666663"/>
    <n v="18619"/>
    <n v="775.79166666666663"/>
    <n v="10244.258333333333"/>
    <n v="10421.158333333333"/>
  </r>
  <r>
    <x v="11"/>
    <s v="Winthrop University "/>
    <n v="218964"/>
    <x v="2"/>
    <s v="sem"/>
    <m/>
    <m/>
    <m/>
    <n v="66170"/>
    <n v="66275"/>
    <n v="6745"/>
    <n v="6624"/>
    <n v="71720.5"/>
    <n v="71048"/>
    <n v="144635.5"/>
    <n v="4821.1833333333334"/>
    <n v="143947"/>
    <n v="4798.2333333333336"/>
    <n v="1066"/>
    <n v="1371"/>
    <n v="144635.5"/>
    <n v="143947"/>
    <m/>
    <m/>
    <m/>
    <m/>
    <m/>
    <m/>
    <m/>
    <m/>
    <n v="0"/>
    <n v="0"/>
    <n v="0"/>
    <n v="0"/>
    <m/>
    <m/>
    <n v="0"/>
    <n v="0"/>
    <m/>
    <m/>
    <n v="6111"/>
    <n v="6466"/>
    <n v="3742"/>
    <n v="4202"/>
    <n v="6745"/>
    <n v="7146"/>
    <n v="16598"/>
    <n v="691.58333333333337"/>
    <n v="17814"/>
    <n v="742.25"/>
    <n v="5512.7666666666664"/>
    <n v="5540.4833333333336"/>
  </r>
  <r>
    <x v="11"/>
    <s v="The Citadel, the Military College of South Carolina "/>
    <n v="217864"/>
    <x v="3"/>
    <s v="sem"/>
    <m/>
    <m/>
    <m/>
    <n v="36405"/>
    <n v="37367"/>
    <n v="5704"/>
    <n v="5298"/>
    <n v="39478"/>
    <n v="40909"/>
    <n v="81587"/>
    <n v="2719.5666666666666"/>
    <n v="83574"/>
    <n v="2785.8"/>
    <n v="167"/>
    <n v="203"/>
    <n v="81587"/>
    <n v="83574"/>
    <m/>
    <m/>
    <m/>
    <m/>
    <m/>
    <m/>
    <m/>
    <m/>
    <n v="0"/>
    <n v="0"/>
    <n v="0"/>
    <n v="0"/>
    <m/>
    <m/>
    <n v="0"/>
    <n v="0"/>
    <m/>
    <m/>
    <n v="5659.5"/>
    <n v="5901"/>
    <n v="4503"/>
    <n v="4056"/>
    <n v="5633"/>
    <n v="5633"/>
    <n v="15795.5"/>
    <n v="658.14583333333337"/>
    <n v="15590"/>
    <n v="649.58333333333337"/>
    <n v="3377.7125000000001"/>
    <n v="3435.3833333333337"/>
  </r>
  <r>
    <x v="11"/>
    <s v="Coastal Carolina University"/>
    <n v="218724"/>
    <x v="4"/>
    <s v="sem"/>
    <m/>
    <m/>
    <m/>
    <n v="93211"/>
    <n v="98347"/>
    <n v="9512"/>
    <n v="9417"/>
    <n v="110338"/>
    <n v="114734"/>
    <n v="213061"/>
    <n v="7102.0333333333338"/>
    <n v="222498"/>
    <n v="7416.6"/>
    <n v="366"/>
    <n v="524"/>
    <n v="213061"/>
    <n v="222498"/>
    <m/>
    <m/>
    <m/>
    <m/>
    <m/>
    <m/>
    <m/>
    <m/>
    <n v="0"/>
    <n v="0"/>
    <n v="0"/>
    <n v="0"/>
    <m/>
    <m/>
    <n v="0"/>
    <n v="0"/>
    <m/>
    <m/>
    <n v="2392"/>
    <n v="2693"/>
    <n v="2349"/>
    <n v="2446"/>
    <n v="2812"/>
    <n v="2367"/>
    <n v="7553"/>
    <n v="314.70833333333331"/>
    <n v="7506"/>
    <n v="312.75"/>
    <n v="7416.7416666666668"/>
    <n v="7729.35"/>
  </r>
  <r>
    <x v="11"/>
    <s v="Francis Marion University "/>
    <n v="218061"/>
    <x v="4"/>
    <s v="sem"/>
    <m/>
    <m/>
    <m/>
    <n v="42609"/>
    <n v="43833"/>
    <n v="5054"/>
    <n v="4659"/>
    <n v="47479"/>
    <n v="50145"/>
    <n v="95142"/>
    <n v="3171.4"/>
    <n v="98637"/>
    <n v="3287.9"/>
    <n v="483"/>
    <n v="422"/>
    <n v="95142"/>
    <n v="98637"/>
    <m/>
    <m/>
    <m/>
    <m/>
    <m/>
    <m/>
    <m/>
    <m/>
    <n v="0"/>
    <n v="0"/>
    <n v="0"/>
    <n v="0"/>
    <m/>
    <m/>
    <n v="0"/>
    <n v="0"/>
    <m/>
    <m/>
    <n v="1736"/>
    <n v="1409"/>
    <n v="1752"/>
    <n v="1665"/>
    <n v="2178"/>
    <n v="1292"/>
    <n v="5666"/>
    <n v="236.08333333333334"/>
    <n v="4366"/>
    <n v="181.91666666666666"/>
    <n v="3407.4833333333336"/>
    <n v="3469.8166666666666"/>
  </r>
  <r>
    <x v="11"/>
    <s v="Lander University"/>
    <n v="218229"/>
    <x v="5"/>
    <s v="sem"/>
    <m/>
    <m/>
    <m/>
    <n v="30259.5"/>
    <n v="32853"/>
    <n v="3825"/>
    <n v="3830"/>
    <n v="35078"/>
    <n v="39417"/>
    <n v="69162.5"/>
    <n v="2305.4166666666665"/>
    <n v="76100"/>
    <n v="2536.6666666666665"/>
    <n v="215"/>
    <n v="162"/>
    <n v="69162.5"/>
    <n v="76100"/>
    <m/>
    <m/>
    <m/>
    <m/>
    <m/>
    <m/>
    <m/>
    <m/>
    <n v="0"/>
    <n v="0"/>
    <n v="0"/>
    <n v="0"/>
    <m/>
    <m/>
    <n v="0"/>
    <n v="0"/>
    <m/>
    <m/>
    <n v="357"/>
    <n v="378"/>
    <n v="867"/>
    <n v="846"/>
    <n v="402"/>
    <n v="210"/>
    <n v="1626"/>
    <n v="67.75"/>
    <n v="1434"/>
    <n v="59.75"/>
    <n v="2373.1666666666665"/>
    <n v="2596.4166666666665"/>
  </r>
  <r>
    <x v="11"/>
    <s v="South Carolina State University "/>
    <n v="218733"/>
    <x v="4"/>
    <s v="sem"/>
    <m/>
    <m/>
    <m/>
    <n v="58657"/>
    <n v="55390"/>
    <n v="7531"/>
    <n v="7080"/>
    <n v="59286"/>
    <n v="56156"/>
    <n v="125474"/>
    <n v="4182.4666666666662"/>
    <n v="118626"/>
    <n v="3954.2"/>
    <n v="156"/>
    <n v="27"/>
    <n v="125474"/>
    <n v="118626"/>
    <m/>
    <m/>
    <m/>
    <m/>
    <m/>
    <m/>
    <m/>
    <m/>
    <n v="0"/>
    <n v="0"/>
    <n v="0"/>
    <n v="0"/>
    <m/>
    <m/>
    <n v="0"/>
    <n v="0"/>
    <m/>
    <m/>
    <n v="4655"/>
    <n v="4773"/>
    <n v="2957"/>
    <n v="2529"/>
    <n v="4758"/>
    <n v="4391"/>
    <n v="12370"/>
    <n v="515.41666666666663"/>
    <n v="11693"/>
    <n v="487.20833333333331"/>
    <n v="4697.8833333333332"/>
    <n v="4441.4083333333328"/>
  </r>
  <r>
    <x v="11"/>
    <s v="University of South Carolina-Aiken"/>
    <n v="218645"/>
    <x v="5"/>
    <s v="sem"/>
    <m/>
    <m/>
    <m/>
    <n v="36699"/>
    <n v="36364"/>
    <n v="4664"/>
    <n v="4509"/>
    <n v="40140"/>
    <n v="41466"/>
    <n v="81503"/>
    <n v="2716.7666666666669"/>
    <n v="82339"/>
    <n v="2744.6333333333332"/>
    <n v="1113"/>
    <n v="945"/>
    <n v="81503"/>
    <n v="82339"/>
    <m/>
    <m/>
    <m/>
    <m/>
    <m/>
    <m/>
    <m/>
    <m/>
    <n v="0"/>
    <n v="0"/>
    <n v="0"/>
    <n v="0"/>
    <m/>
    <m/>
    <n v="0"/>
    <n v="0"/>
    <m/>
    <m/>
    <n v="512"/>
    <n v="407"/>
    <n v="380"/>
    <n v="252"/>
    <n v="598"/>
    <n v="337"/>
    <n v="1490"/>
    <n v="62.083333333333336"/>
    <n v="996"/>
    <n v="41.5"/>
    <n v="2778.8500000000004"/>
    <n v="2786.1333333333332"/>
  </r>
  <r>
    <x v="11"/>
    <s v="University of South Carolina-Upstate"/>
    <n v="218742"/>
    <x v="5"/>
    <s v="sem"/>
    <m/>
    <m/>
    <m/>
    <n v="61034"/>
    <n v="62983"/>
    <n v="8209"/>
    <n v="7583"/>
    <n v="67814"/>
    <n v="72035"/>
    <n v="137057"/>
    <n v="4568.5666666666666"/>
    <n v="142601"/>
    <n v="4753.3666666666668"/>
    <n v="739"/>
    <n v="1298"/>
    <n v="137057"/>
    <n v="142601"/>
    <m/>
    <m/>
    <m/>
    <m/>
    <m/>
    <m/>
    <m/>
    <m/>
    <n v="0"/>
    <n v="0"/>
    <n v="0"/>
    <n v="0"/>
    <m/>
    <m/>
    <n v="0"/>
    <n v="0"/>
    <m/>
    <m/>
    <n v="360"/>
    <n v="516"/>
    <n v="564"/>
    <n v="447"/>
    <n v="232"/>
    <n v="382"/>
    <n v="1156"/>
    <n v="48.166666666666664"/>
    <n v="1345"/>
    <n v="56.041666666666664"/>
    <n v="4616.7333333333336"/>
    <n v="4809.4083333333338"/>
  </r>
  <r>
    <x v="11"/>
    <s v="University of South Carolina-Beaufort"/>
    <n v="218654"/>
    <x v="5"/>
    <s v="sem"/>
    <m/>
    <m/>
    <m/>
    <n v="15338"/>
    <n v="17387"/>
    <n v="2454"/>
    <n v="2446"/>
    <n v="17859"/>
    <n v="21628"/>
    <n v="35651"/>
    <n v="1188.3666666666666"/>
    <n v="41461"/>
    <n v="1382.0333333333333"/>
    <n v="332"/>
    <n v="28"/>
    <n v="35651"/>
    <n v="41461"/>
    <m/>
    <m/>
    <m/>
    <m/>
    <m/>
    <m/>
    <m/>
    <m/>
    <n v="0"/>
    <n v="0"/>
    <n v="0"/>
    <n v="0"/>
    <m/>
    <m/>
    <n v="0"/>
    <n v="0"/>
    <m/>
    <m/>
    <m/>
    <m/>
    <m/>
    <m/>
    <m/>
    <m/>
    <n v="0"/>
    <n v="0"/>
    <n v="0"/>
    <n v="0"/>
    <n v="1188.3666666666666"/>
    <n v="1382.0333333333333"/>
  </r>
  <r>
    <x v="11"/>
    <s v="Greenville Technical College "/>
    <n v="218113"/>
    <x v="6"/>
    <s v="sem"/>
    <m/>
    <m/>
    <m/>
    <n v="127396.35"/>
    <n v="131816"/>
    <n v="48058.9"/>
    <n v="56867"/>
    <n v="151098.14000000001"/>
    <n v="159037"/>
    <n v="326553.39"/>
    <n v="10885.113000000001"/>
    <n v="347720"/>
    <n v="11590.666666666666"/>
    <n v="4846"/>
    <n v="6985"/>
    <n v="326553.39"/>
    <n v="347720"/>
    <m/>
    <m/>
    <m/>
    <m/>
    <m/>
    <m/>
    <m/>
    <m/>
    <n v="0"/>
    <n v="0"/>
    <n v="0"/>
    <n v="0"/>
    <m/>
    <m/>
    <n v="0"/>
    <n v="0"/>
    <m/>
    <m/>
    <m/>
    <m/>
    <m/>
    <m/>
    <m/>
    <m/>
    <n v="0"/>
    <n v="0"/>
    <n v="0"/>
    <n v="0"/>
    <n v="10885.113000000001"/>
    <n v="11590.666666666666"/>
  </r>
  <r>
    <x v="11"/>
    <s v="Midlands Technical College "/>
    <n v="218353"/>
    <x v="6"/>
    <s v="sem"/>
    <m/>
    <m/>
    <m/>
    <n v="104410.07"/>
    <n v="111470"/>
    <n v="41868.949999999997"/>
    <n v="48523"/>
    <n v="118218.87"/>
    <n v="128926"/>
    <n v="264497.89"/>
    <n v="8816.596333333333"/>
    <n v="288919"/>
    <n v="9630.6333333333332"/>
    <n v="1663"/>
    <n v="2045"/>
    <n v="264497.89"/>
    <n v="288919"/>
    <m/>
    <m/>
    <m/>
    <m/>
    <m/>
    <m/>
    <m/>
    <m/>
    <n v="0"/>
    <n v="0"/>
    <n v="0"/>
    <n v="0"/>
    <m/>
    <m/>
    <n v="0"/>
    <n v="0"/>
    <m/>
    <m/>
    <m/>
    <m/>
    <m/>
    <m/>
    <m/>
    <m/>
    <n v="0"/>
    <n v="0"/>
    <n v="0"/>
    <n v="0"/>
    <n v="8816.596333333333"/>
    <n v="9630.6333333333332"/>
  </r>
  <r>
    <x v="11"/>
    <s v="Trident Technical College "/>
    <n v="218894"/>
    <x v="6"/>
    <s v="sem"/>
    <m/>
    <m/>
    <m/>
    <n v="113241.93"/>
    <n v="125408"/>
    <n v="45570.1"/>
    <n v="57742"/>
    <n v="128017.17"/>
    <n v="152202"/>
    <n v="286829.2"/>
    <n v="9560.9733333333334"/>
    <n v="335352"/>
    <n v="11178.4"/>
    <n v="5977"/>
    <n v="6668"/>
    <n v="286829.2"/>
    <n v="335352"/>
    <m/>
    <m/>
    <m/>
    <m/>
    <m/>
    <m/>
    <m/>
    <m/>
    <n v="0"/>
    <n v="0"/>
    <n v="0"/>
    <n v="0"/>
    <m/>
    <m/>
    <n v="0"/>
    <n v="0"/>
    <m/>
    <m/>
    <m/>
    <m/>
    <m/>
    <m/>
    <m/>
    <m/>
    <n v="0"/>
    <n v="0"/>
    <n v="0"/>
    <n v="0"/>
    <n v="9560.9733333333334"/>
    <n v="11178.4"/>
  </r>
  <r>
    <x v="11"/>
    <s v="Aiken Technical College "/>
    <n v="217615"/>
    <x v="7"/>
    <s v="sem"/>
    <m/>
    <m/>
    <m/>
    <n v="26679.67"/>
    <n v="29894"/>
    <n v="11818.4"/>
    <n v="13670"/>
    <n v="29641.65"/>
    <n v="34611"/>
    <n v="68139.72"/>
    <n v="2271.3240000000001"/>
    <n v="78175"/>
    <n v="2605.8333333333335"/>
    <n v="131"/>
    <n v="400"/>
    <n v="68139.72"/>
    <n v="78175"/>
    <m/>
    <m/>
    <m/>
    <m/>
    <m/>
    <m/>
    <m/>
    <m/>
    <n v="0"/>
    <n v="0"/>
    <n v="0"/>
    <n v="0"/>
    <m/>
    <m/>
    <n v="0"/>
    <n v="0"/>
    <m/>
    <m/>
    <m/>
    <m/>
    <m/>
    <m/>
    <m/>
    <m/>
    <n v="0"/>
    <n v="0"/>
    <n v="0"/>
    <n v="0"/>
    <n v="2271.3240000000001"/>
    <n v="2605.8333333333335"/>
  </r>
  <r>
    <x v="11"/>
    <s v="Central Carolina Technical College "/>
    <n v="218858"/>
    <x v="7"/>
    <s v="sem"/>
    <m/>
    <m/>
    <m/>
    <n v="29667.48"/>
    <n v="29456"/>
    <n v="12184.56"/>
    <n v="14090"/>
    <n v="30728.74"/>
    <n v="38666"/>
    <n v="72580.78"/>
    <n v="2419.3593333333333"/>
    <n v="82212"/>
    <n v="2740.4"/>
    <n v="3170"/>
    <n v="2660"/>
    <n v="72580.78"/>
    <n v="82212"/>
    <m/>
    <m/>
    <m/>
    <m/>
    <m/>
    <m/>
    <m/>
    <m/>
    <n v="0"/>
    <n v="0"/>
    <n v="0"/>
    <n v="0"/>
    <m/>
    <m/>
    <n v="0"/>
    <n v="0"/>
    <m/>
    <m/>
    <m/>
    <m/>
    <m/>
    <m/>
    <m/>
    <m/>
    <n v="0"/>
    <n v="0"/>
    <n v="0"/>
    <n v="0"/>
    <n v="2419.3593333333333"/>
    <n v="2740.4"/>
  </r>
  <r>
    <x v="11"/>
    <s v="Florence-Darlington Technical College "/>
    <n v="218025"/>
    <x v="7"/>
    <s v="sem"/>
    <m/>
    <m/>
    <m/>
    <n v="42200.79"/>
    <n v="48796"/>
    <n v="16454.919999999998"/>
    <n v="21485"/>
    <n v="49144.25"/>
    <n v="58942"/>
    <n v="107799.95999999999"/>
    <n v="3593.3319999999999"/>
    <n v="129223"/>
    <n v="4307.4333333333334"/>
    <n v="744"/>
    <n v="833"/>
    <n v="107799.95999999999"/>
    <n v="129223"/>
    <m/>
    <m/>
    <m/>
    <m/>
    <m/>
    <m/>
    <m/>
    <m/>
    <n v="0"/>
    <n v="0"/>
    <n v="0"/>
    <n v="0"/>
    <m/>
    <m/>
    <n v="0"/>
    <n v="0"/>
    <m/>
    <m/>
    <m/>
    <m/>
    <m/>
    <m/>
    <m/>
    <m/>
    <n v="0"/>
    <n v="0"/>
    <n v="0"/>
    <n v="0"/>
    <n v="3593.3319999999999"/>
    <n v="4307.4333333333334"/>
  </r>
  <r>
    <x v="11"/>
    <s v="Horry-Georgetown Technical College "/>
    <n v="218140"/>
    <x v="7"/>
    <s v="sem"/>
    <m/>
    <m/>
    <m/>
    <n v="54371.47"/>
    <n v="62502"/>
    <n v="19365.11"/>
    <n v="23166"/>
    <n v="59752.67"/>
    <n v="72314"/>
    <n v="133489.25"/>
    <n v="4449.6416666666664"/>
    <n v="157982"/>
    <n v="5266.0666666666666"/>
    <n v="2366"/>
    <n v="1936"/>
    <n v="133489.25"/>
    <n v="157982"/>
    <m/>
    <m/>
    <m/>
    <m/>
    <m/>
    <m/>
    <m/>
    <m/>
    <n v="0"/>
    <n v="0"/>
    <n v="0"/>
    <n v="0"/>
    <m/>
    <m/>
    <n v="0"/>
    <n v="0"/>
    <m/>
    <m/>
    <m/>
    <m/>
    <m/>
    <m/>
    <m/>
    <m/>
    <n v="0"/>
    <n v="0"/>
    <n v="0"/>
    <n v="0"/>
    <n v="4449.6416666666664"/>
    <n v="5266.0666666666666"/>
  </r>
  <r>
    <x v="11"/>
    <s v="Orangeburg-Calhoun Technical College"/>
    <n v="218487"/>
    <x v="7"/>
    <s v="sem"/>
    <m/>
    <m/>
    <m/>
    <n v="23247.19"/>
    <n v="27903"/>
    <n v="10059.17"/>
    <n v="11475"/>
    <n v="29056.79"/>
    <n v="33262"/>
    <n v="62363.15"/>
    <n v="2078.7716666666665"/>
    <n v="72640"/>
    <n v="2421.3333333333335"/>
    <n v="3561"/>
    <n v="4643"/>
    <n v="62363.15"/>
    <n v="72640"/>
    <m/>
    <m/>
    <m/>
    <m/>
    <m/>
    <m/>
    <m/>
    <m/>
    <n v="0"/>
    <n v="0"/>
    <n v="0"/>
    <n v="0"/>
    <m/>
    <m/>
    <n v="0"/>
    <n v="0"/>
    <m/>
    <m/>
    <m/>
    <m/>
    <m/>
    <m/>
    <m/>
    <m/>
    <n v="0"/>
    <n v="0"/>
    <n v="0"/>
    <n v="0"/>
    <n v="2078.7716666666665"/>
    <n v="2421.3333333333335"/>
  </r>
  <r>
    <x v="11"/>
    <s v="Piedmont Technical College "/>
    <n v="218520"/>
    <x v="7"/>
    <s v="sem"/>
    <m/>
    <m/>
    <m/>
    <n v="47232.11"/>
    <n v="52615"/>
    <n v="20808.52"/>
    <n v="25008"/>
    <n v="53255.92"/>
    <n v="60029"/>
    <n v="121296.55"/>
    <n v="4043.2183333333332"/>
    <n v="137652"/>
    <n v="4588.3999999999996"/>
    <n v="7361"/>
    <n v="8849"/>
    <n v="121296.55"/>
    <n v="137652"/>
    <m/>
    <m/>
    <m/>
    <m/>
    <m/>
    <m/>
    <m/>
    <m/>
    <n v="0"/>
    <n v="0"/>
    <n v="0"/>
    <n v="0"/>
    <m/>
    <m/>
    <n v="0"/>
    <n v="0"/>
    <m/>
    <m/>
    <m/>
    <m/>
    <m/>
    <m/>
    <m/>
    <m/>
    <n v="0"/>
    <n v="0"/>
    <n v="0"/>
    <n v="0"/>
    <n v="4043.2183333333332"/>
    <n v="4588.3999999999996"/>
  </r>
  <r>
    <x v="11"/>
    <s v="Spartanburg Community College "/>
    <n v="218830"/>
    <x v="7"/>
    <s v="sem"/>
    <m/>
    <m/>
    <m/>
    <n v="47186.6"/>
    <n v="50538"/>
    <n v="16579.330000000002"/>
    <n v="19354"/>
    <n v="50817.52"/>
    <n v="62001"/>
    <n v="114583.45"/>
    <n v="3819.4483333333333"/>
    <n v="131893"/>
    <n v="4396.4333333333334"/>
    <n v="539"/>
    <n v="2918"/>
    <n v="114583.45"/>
    <n v="131893"/>
    <m/>
    <m/>
    <m/>
    <m/>
    <m/>
    <m/>
    <m/>
    <m/>
    <n v="0"/>
    <n v="0"/>
    <n v="0"/>
    <n v="0"/>
    <m/>
    <m/>
    <n v="0"/>
    <n v="0"/>
    <m/>
    <m/>
    <m/>
    <m/>
    <m/>
    <m/>
    <m/>
    <m/>
    <n v="0"/>
    <n v="0"/>
    <n v="0"/>
    <n v="0"/>
    <n v="3819.4483333333333"/>
    <n v="4396.4333333333334"/>
  </r>
  <r>
    <x v="11"/>
    <s v="Tri-County Technical College "/>
    <n v="218885"/>
    <x v="7"/>
    <s v="sem"/>
    <m/>
    <m/>
    <m/>
    <n v="53297.39"/>
    <n v="59727"/>
    <n v="19922.189999999999"/>
    <n v="24212"/>
    <n v="65809.89"/>
    <n v="78043"/>
    <n v="139029.47"/>
    <n v="4634.3156666666664"/>
    <n v="161982"/>
    <n v="5399.4"/>
    <n v="7504"/>
    <n v="6319"/>
    <n v="139029.47"/>
    <n v="161982"/>
    <m/>
    <m/>
    <m/>
    <m/>
    <m/>
    <m/>
    <m/>
    <m/>
    <n v="0"/>
    <n v="0"/>
    <n v="0"/>
    <n v="0"/>
    <m/>
    <m/>
    <n v="0"/>
    <n v="0"/>
    <m/>
    <m/>
    <m/>
    <m/>
    <m/>
    <m/>
    <m/>
    <m/>
    <n v="0"/>
    <n v="0"/>
    <n v="0"/>
    <n v="0"/>
    <n v="4634.3156666666664"/>
    <n v="5399.4"/>
  </r>
  <r>
    <x v="11"/>
    <s v="York Technical College "/>
    <n v="218991"/>
    <x v="7"/>
    <s v="sem"/>
    <m/>
    <m/>
    <m/>
    <n v="46418.92"/>
    <n v="50612"/>
    <n v="21602.75"/>
    <n v="26285"/>
    <n v="54637.85"/>
    <n v="61855"/>
    <n v="122659.51999999999"/>
    <n v="4088.6506666666664"/>
    <n v="138752"/>
    <n v="4625.0666666666666"/>
    <n v="5594"/>
    <n v="6420"/>
    <n v="122659.51999999999"/>
    <n v="138752"/>
    <m/>
    <m/>
    <m/>
    <m/>
    <m/>
    <m/>
    <m/>
    <m/>
    <n v="0"/>
    <n v="0"/>
    <n v="0"/>
    <n v="0"/>
    <m/>
    <m/>
    <n v="0"/>
    <n v="0"/>
    <m/>
    <m/>
    <m/>
    <m/>
    <m/>
    <m/>
    <m/>
    <m/>
    <n v="0"/>
    <n v="0"/>
    <n v="0"/>
    <n v="0"/>
    <n v="4088.6506666666664"/>
    <n v="4625.0666666666666"/>
  </r>
  <r>
    <x v="11"/>
    <s v="Denmark Technical College "/>
    <n v="217989"/>
    <x v="8"/>
    <s v="sem"/>
    <m/>
    <m/>
    <m/>
    <n v="15040.77"/>
    <n v="17827"/>
    <n v="3587.27"/>
    <n v="4925"/>
    <n v="19149.560000000001"/>
    <n v="15731"/>
    <n v="37777.600000000006"/>
    <n v="1259.2533333333336"/>
    <n v="38483"/>
    <n v="1282.7666666666667"/>
    <n v="741"/>
    <n v="2"/>
    <n v="37777.600000000006"/>
    <n v="38483"/>
    <m/>
    <m/>
    <m/>
    <m/>
    <m/>
    <m/>
    <m/>
    <m/>
    <n v="0"/>
    <n v="0"/>
    <n v="0"/>
    <n v="0"/>
    <m/>
    <m/>
    <n v="0"/>
    <n v="0"/>
    <m/>
    <m/>
    <m/>
    <m/>
    <m/>
    <m/>
    <m/>
    <m/>
    <n v="0"/>
    <n v="0"/>
    <n v="0"/>
    <n v="0"/>
    <n v="1259.2533333333336"/>
    <n v="1282.7666666666667"/>
  </r>
  <r>
    <x v="11"/>
    <s v="Northeastern Technical College"/>
    <n v="217837"/>
    <x v="8"/>
    <s v="sem"/>
    <m/>
    <m/>
    <m/>
    <n v="9290.5400000000009"/>
    <n v="10216"/>
    <n v="5077.67"/>
    <n v="5965"/>
    <n v="11295.65"/>
    <n v="11209"/>
    <n v="25663.86"/>
    <n v="855.46199999999999"/>
    <n v="27390"/>
    <n v="913"/>
    <n v="557"/>
    <n v="894"/>
    <n v="25663.86"/>
    <n v="27390"/>
    <m/>
    <m/>
    <m/>
    <m/>
    <m/>
    <m/>
    <m/>
    <m/>
    <n v="0"/>
    <n v="0"/>
    <n v="0"/>
    <n v="0"/>
    <m/>
    <m/>
    <n v="0"/>
    <n v="0"/>
    <m/>
    <m/>
    <m/>
    <m/>
    <m/>
    <m/>
    <m/>
    <m/>
    <n v="0"/>
    <n v="0"/>
    <n v="0"/>
    <n v="0"/>
    <n v="855.46199999999999"/>
    <n v="913"/>
  </r>
  <r>
    <x v="11"/>
    <s v="Technical College of the Low Country"/>
    <n v="217712"/>
    <x v="8"/>
    <s v="sem"/>
    <m/>
    <m/>
    <m/>
    <n v="17323.27"/>
    <n v="20925"/>
    <n v="7570.6"/>
    <n v="8476"/>
    <n v="20877.580000000002"/>
    <n v="25652"/>
    <n v="45771.450000000004"/>
    <n v="1525.7150000000001"/>
    <n v="55053"/>
    <n v="1835.1"/>
    <n v="2767"/>
    <n v="2124"/>
    <n v="45771.450000000004"/>
    <n v="55053"/>
    <m/>
    <m/>
    <m/>
    <m/>
    <m/>
    <m/>
    <m/>
    <m/>
    <n v="0"/>
    <n v="0"/>
    <n v="0"/>
    <n v="0"/>
    <m/>
    <m/>
    <n v="0"/>
    <n v="0"/>
    <m/>
    <m/>
    <m/>
    <m/>
    <m/>
    <m/>
    <m/>
    <m/>
    <n v="0"/>
    <n v="0"/>
    <n v="0"/>
    <n v="0"/>
    <n v="1525.7150000000001"/>
    <n v="1835.1"/>
  </r>
  <r>
    <x v="11"/>
    <s v="University of South Carolina-Lancaster"/>
    <n v="218672"/>
    <x v="8"/>
    <s v="sem"/>
    <m/>
    <m/>
    <m/>
    <n v="12818"/>
    <n v="13912"/>
    <n v="1749"/>
    <n v="1931"/>
    <n v="16184"/>
    <n v="16104"/>
    <n v="30751"/>
    <n v="1025.0333333333333"/>
    <n v="31947"/>
    <n v="1064.9000000000001"/>
    <n v="2642"/>
    <n v="2520"/>
    <n v="30751"/>
    <n v="31947"/>
    <m/>
    <m/>
    <m/>
    <m/>
    <m/>
    <m/>
    <m/>
    <m/>
    <n v="0"/>
    <n v="0"/>
    <n v="0"/>
    <n v="0"/>
    <m/>
    <m/>
    <n v="0"/>
    <n v="0"/>
    <m/>
    <m/>
    <m/>
    <m/>
    <m/>
    <m/>
    <m/>
    <m/>
    <n v="0"/>
    <n v="0"/>
    <n v="0"/>
    <n v="0"/>
    <n v="1025.0333333333333"/>
    <n v="1064.9000000000001"/>
  </r>
  <r>
    <x v="11"/>
    <s v="University of South Carolina-Salkehatchie"/>
    <n v="218681"/>
    <x v="8"/>
    <s v="sem"/>
    <m/>
    <m/>
    <m/>
    <n v="7979"/>
    <n v="8076"/>
    <n v="944"/>
    <n v="933"/>
    <n v="9332"/>
    <n v="9655"/>
    <n v="18255"/>
    <n v="608.5"/>
    <n v="18664"/>
    <n v="622.13333333333333"/>
    <n v="1230"/>
    <n v="1106"/>
    <n v="18255"/>
    <n v="18664"/>
    <m/>
    <m/>
    <m/>
    <m/>
    <m/>
    <m/>
    <m/>
    <m/>
    <n v="0"/>
    <n v="0"/>
    <n v="0"/>
    <n v="0"/>
    <m/>
    <m/>
    <n v="0"/>
    <n v="0"/>
    <m/>
    <m/>
    <m/>
    <m/>
    <m/>
    <m/>
    <m/>
    <m/>
    <n v="0"/>
    <n v="0"/>
    <n v="0"/>
    <n v="0"/>
    <n v="608.5"/>
    <n v="622.13333333333333"/>
  </r>
  <r>
    <x v="11"/>
    <s v="University of South Carolina-Sumter"/>
    <n v="218690"/>
    <x v="8"/>
    <s v="sem"/>
    <m/>
    <m/>
    <m/>
    <n v="11492"/>
    <n v="11388"/>
    <n v="1591"/>
    <n v="1386"/>
    <n v="13020"/>
    <n v="13300"/>
    <n v="26103"/>
    <n v="870.1"/>
    <n v="26074"/>
    <n v="869.13333333333333"/>
    <n v="2203"/>
    <n v="3093"/>
    <n v="26103"/>
    <n v="26074"/>
    <m/>
    <m/>
    <m/>
    <m/>
    <m/>
    <m/>
    <m/>
    <m/>
    <n v="0"/>
    <n v="0"/>
    <n v="0"/>
    <n v="0"/>
    <m/>
    <m/>
    <n v="0"/>
    <n v="0"/>
    <m/>
    <m/>
    <m/>
    <m/>
    <m/>
    <m/>
    <m/>
    <m/>
    <n v="0"/>
    <n v="0"/>
    <n v="0"/>
    <n v="0"/>
    <n v="870.1"/>
    <n v="869.13333333333333"/>
  </r>
  <r>
    <x v="11"/>
    <s v="University of South Carolina-Union"/>
    <n v="218706"/>
    <x v="8"/>
    <s v="sem"/>
    <m/>
    <m/>
    <m/>
    <n v="3832"/>
    <n v="3852"/>
    <n v="482"/>
    <n v="551"/>
    <n v="3723"/>
    <n v="4973"/>
    <n v="8037"/>
    <n v="267.89999999999998"/>
    <n v="9376"/>
    <n v="312.53333333333336"/>
    <n v="1922"/>
    <n v="2184"/>
    <n v="8037"/>
    <n v="9376"/>
    <m/>
    <m/>
    <m/>
    <m/>
    <m/>
    <m/>
    <m/>
    <m/>
    <n v="0"/>
    <n v="0"/>
    <n v="0"/>
    <n v="0"/>
    <m/>
    <m/>
    <n v="0"/>
    <n v="0"/>
    <m/>
    <m/>
    <m/>
    <m/>
    <m/>
    <m/>
    <m/>
    <m/>
    <n v="0"/>
    <n v="0"/>
    <n v="0"/>
    <n v="0"/>
    <n v="267.89999999999998"/>
    <n v="312.53333333333336"/>
  </r>
  <r>
    <x v="11"/>
    <s v="Willamsburg Technical College "/>
    <n v="218955"/>
    <x v="8"/>
    <s v="sem"/>
    <m/>
    <m/>
    <m/>
    <n v="5228.26"/>
    <n v="6222"/>
    <n v="3205.54"/>
    <n v="3377"/>
    <n v="6429.28"/>
    <n v="7415"/>
    <n v="14863.079999999998"/>
    <n v="495.43599999999992"/>
    <n v="17014"/>
    <n v="567.13333333333333"/>
    <n v="809"/>
    <n v="774"/>
    <n v="14863.079999999998"/>
    <n v="17014"/>
    <m/>
    <m/>
    <m/>
    <m/>
    <m/>
    <m/>
    <m/>
    <m/>
    <n v="0"/>
    <n v="0"/>
    <n v="0"/>
    <n v="0"/>
    <m/>
    <m/>
    <n v="0"/>
    <n v="0"/>
    <m/>
    <m/>
    <m/>
    <m/>
    <m/>
    <m/>
    <m/>
    <m/>
    <n v="0"/>
    <n v="0"/>
    <n v="0"/>
    <n v="0"/>
    <n v="495.43599999999992"/>
    <n v="567.13333333333333"/>
  </r>
  <r>
    <x v="12"/>
    <s v="University of Memphis"/>
    <n v="220862"/>
    <x v="0"/>
    <s v="sem"/>
    <s v="sem"/>
    <m/>
    <m/>
    <n v="176816"/>
    <n v="183409"/>
    <n v="29438"/>
    <n v="28087"/>
    <n v="194725"/>
    <n v="204299"/>
    <n v="400979"/>
    <n v="13365.966666666667"/>
    <n v="415795"/>
    <n v="13859.833333333334"/>
    <n v="2163"/>
    <n v="2798"/>
    <n v="400979"/>
    <n v="415795"/>
    <m/>
    <m/>
    <m/>
    <m/>
    <m/>
    <m/>
    <m/>
    <m/>
    <n v="0"/>
    <n v="0"/>
    <n v="0"/>
    <n v="0"/>
    <m/>
    <m/>
    <n v="0"/>
    <n v="0"/>
    <m/>
    <m/>
    <n v="34759"/>
    <n v="34620"/>
    <n v="6635"/>
    <n v="8873"/>
    <n v="35138"/>
    <n v="38064"/>
    <n v="76532"/>
    <n v="3188.8333333333335"/>
    <n v="81557"/>
    <n v="3398.2083333333335"/>
    <n v="16554.8"/>
    <n v="17258.041666666668"/>
  </r>
  <r>
    <x v="12"/>
    <s v="University of Tennessee, Knoxville"/>
    <n v="221759"/>
    <x v="0"/>
    <s v="sem"/>
    <s v="sem"/>
    <m/>
    <m/>
    <n v="279645"/>
    <n v="284467"/>
    <n v="35190"/>
    <n v="34034"/>
    <n v="306235"/>
    <n v="296219"/>
    <n v="621070"/>
    <n v="20702.333333333332"/>
    <n v="614720"/>
    <n v="20490.666666666668"/>
    <n v="837"/>
    <n v="262"/>
    <n v="621070"/>
    <n v="614720"/>
    <m/>
    <m/>
    <m/>
    <m/>
    <m/>
    <m/>
    <m/>
    <m/>
    <n v="0"/>
    <n v="0"/>
    <n v="0"/>
    <n v="0"/>
    <m/>
    <m/>
    <n v="0"/>
    <n v="0"/>
    <m/>
    <m/>
    <n v="49425"/>
    <n v="49314"/>
    <n v="18019"/>
    <n v="18214"/>
    <n v="54913"/>
    <n v="53594"/>
    <n v="122357"/>
    <n v="5098.208333333333"/>
    <n v="121122"/>
    <n v="5046.75"/>
    <n v="25800.541666666664"/>
    <n v="25537.416666666668"/>
  </r>
  <r>
    <x v="12"/>
    <s v="East Tennessee State University "/>
    <n v="220075"/>
    <x v="2"/>
    <s v="sem"/>
    <s v="sem"/>
    <m/>
    <m/>
    <n v="128373"/>
    <n v="133688"/>
    <n v="22086"/>
    <n v="22786"/>
    <n v="144891"/>
    <n v="153124"/>
    <n v="295350"/>
    <n v="9845"/>
    <n v="309598"/>
    <n v="10319.933333333332"/>
    <n v="1280"/>
    <n v="1382"/>
    <n v="295350"/>
    <n v="309598"/>
    <m/>
    <m/>
    <m/>
    <m/>
    <m/>
    <m/>
    <m/>
    <m/>
    <n v="0"/>
    <n v="0"/>
    <n v="0"/>
    <n v="0"/>
    <m/>
    <m/>
    <n v="0"/>
    <n v="0"/>
    <m/>
    <m/>
    <n v="16054"/>
    <n v="17057"/>
    <n v="6515"/>
    <n v="7529"/>
    <n v="17495"/>
    <n v="18221"/>
    <n v="40064"/>
    <n v="1669.3333333333333"/>
    <n v="42807"/>
    <n v="1783.625"/>
    <n v="11514.333333333334"/>
    <n v="12103.558333333332"/>
  </r>
  <r>
    <x v="12"/>
    <s v="Middle Tennessee State University "/>
    <n v="220978"/>
    <x v="2"/>
    <s v="sem"/>
    <s v="sem"/>
    <m/>
    <m/>
    <n v="250712"/>
    <n v="258527"/>
    <n v="41456"/>
    <n v="42199"/>
    <n v="280002"/>
    <n v="291858"/>
    <n v="572170"/>
    <n v="19072.333333333332"/>
    <n v="592584"/>
    <n v="19752.8"/>
    <n v="1463"/>
    <n v="1579"/>
    <n v="572170"/>
    <n v="592584"/>
    <m/>
    <m/>
    <m/>
    <m/>
    <m/>
    <m/>
    <m/>
    <m/>
    <n v="0"/>
    <n v="0"/>
    <n v="0"/>
    <n v="0"/>
    <m/>
    <m/>
    <n v="0"/>
    <n v="0"/>
    <m/>
    <m/>
    <n v="13997"/>
    <n v="16716"/>
    <n v="7583"/>
    <n v="9683"/>
    <n v="16762"/>
    <n v="19107"/>
    <n v="38342"/>
    <n v="1597.5833333333333"/>
    <n v="45506"/>
    <n v="1896.0833333333333"/>
    <n v="20669.916666666664"/>
    <n v="21648.883333333331"/>
  </r>
  <r>
    <x v="12"/>
    <s v="Tennessee State University "/>
    <n v="221838"/>
    <x v="2"/>
    <s v="sem"/>
    <s v="sem"/>
    <m/>
    <m/>
    <n v="87569"/>
    <n v="79915"/>
    <n v="9895"/>
    <n v="10151"/>
    <n v="84732"/>
    <n v="87718"/>
    <n v="182196"/>
    <n v="6073.2"/>
    <n v="177784"/>
    <n v="5926.1333333333332"/>
    <n v="0"/>
    <n v="0"/>
    <n v="182196"/>
    <n v="177784"/>
    <m/>
    <m/>
    <m/>
    <m/>
    <m/>
    <m/>
    <m/>
    <m/>
    <n v="0"/>
    <n v="0"/>
    <n v="0"/>
    <n v="0"/>
    <m/>
    <m/>
    <n v="0"/>
    <n v="0"/>
    <m/>
    <m/>
    <n v="13161"/>
    <n v="12676"/>
    <n v="5730"/>
    <n v="6174"/>
    <n v="12548"/>
    <n v="14129"/>
    <n v="31439"/>
    <n v="1309.9583333333333"/>
    <n v="32979"/>
    <n v="1374.125"/>
    <n v="7383.1583333333328"/>
    <n v="7300.2583333333332"/>
  </r>
  <r>
    <x v="12"/>
    <s v="Tennessee Technological University "/>
    <n v="221847"/>
    <x v="2"/>
    <s v="sem"/>
    <s v="sem"/>
    <m/>
    <m/>
    <n v="100323"/>
    <n v="104543"/>
    <n v="10467"/>
    <n v="10139"/>
    <n v="113274"/>
    <n v="121297"/>
    <n v="224064"/>
    <n v="7468.8"/>
    <n v="235979"/>
    <n v="7865.9666666666662"/>
    <n v="341"/>
    <n v="913"/>
    <n v="224064"/>
    <n v="235979"/>
    <m/>
    <m/>
    <m/>
    <m/>
    <m/>
    <m/>
    <m/>
    <m/>
    <n v="0"/>
    <n v="0"/>
    <n v="0"/>
    <n v="0"/>
    <m/>
    <m/>
    <n v="0"/>
    <n v="0"/>
    <m/>
    <m/>
    <n v="11392"/>
    <n v="11420"/>
    <n v="7587"/>
    <n v="6051"/>
    <n v="12194"/>
    <n v="11647"/>
    <n v="31173"/>
    <n v="1298.875"/>
    <n v="29118"/>
    <n v="1213.25"/>
    <n v="8767.6749999999993"/>
    <n v="9079.2166666666672"/>
  </r>
  <r>
    <x v="12"/>
    <s v="University of Tennessee at Chattanooga"/>
    <n v="221740"/>
    <x v="2"/>
    <s v="sem"/>
    <s v="sem"/>
    <m/>
    <m/>
    <n v="97708"/>
    <n v="102872"/>
    <n v="15424"/>
    <n v="14604"/>
    <n v="113440"/>
    <n v="122716"/>
    <n v="226572"/>
    <n v="7552.4"/>
    <n v="240192"/>
    <n v="8006.4"/>
    <n v="421"/>
    <n v="455"/>
    <n v="226572"/>
    <n v="240192"/>
    <m/>
    <m/>
    <m/>
    <m/>
    <m/>
    <m/>
    <m/>
    <m/>
    <n v="0"/>
    <n v="0"/>
    <n v="0"/>
    <n v="0"/>
    <m/>
    <m/>
    <n v="0"/>
    <n v="0"/>
    <m/>
    <m/>
    <n v="9407"/>
    <n v="9796"/>
    <n v="5857"/>
    <n v="5845"/>
    <n v="10601"/>
    <n v="11222"/>
    <n v="25865"/>
    <n v="1077.7083333333333"/>
    <n v="26863"/>
    <n v="1119.2916666666667"/>
    <n v="8630.1083333333336"/>
    <n v="9125.6916666666657"/>
  </r>
  <r>
    <x v="12"/>
    <s v="Austin Peay State University "/>
    <n v="219602"/>
    <x v="3"/>
    <s v="sem"/>
    <s v="sem"/>
    <m/>
    <m/>
    <n v="90711"/>
    <n v="92053"/>
    <n v="20505"/>
    <n v="18249"/>
    <n v="105826"/>
    <n v="112514"/>
    <n v="217042"/>
    <n v="7234.7333333333336"/>
    <n v="222816"/>
    <n v="7427.2"/>
    <n v="975"/>
    <n v="1469"/>
    <n v="217042"/>
    <n v="222816"/>
    <m/>
    <m/>
    <m/>
    <m/>
    <m/>
    <m/>
    <m/>
    <m/>
    <n v="0"/>
    <n v="0"/>
    <n v="0"/>
    <n v="0"/>
    <m/>
    <m/>
    <n v="0"/>
    <n v="0"/>
    <m/>
    <m/>
    <n v="5611"/>
    <n v="5138"/>
    <n v="2472"/>
    <n v="2375"/>
    <n v="5326"/>
    <n v="6020"/>
    <n v="13409"/>
    <n v="558.70833333333337"/>
    <n v="13533"/>
    <n v="563.875"/>
    <n v="7793.4416666666666"/>
    <n v="7991.0749999999998"/>
  </r>
  <r>
    <x v="12"/>
    <s v="University of Tennessee at Martin"/>
    <n v="221768"/>
    <x v="4"/>
    <s v="sem"/>
    <s v="sem"/>
    <m/>
    <m/>
    <n v="82532"/>
    <n v="85665"/>
    <n v="10712"/>
    <n v="11184"/>
    <n v="91420"/>
    <n v="96898"/>
    <n v="184664"/>
    <n v="6155.4666666666662"/>
    <n v="193747"/>
    <n v="6458.2333333333336"/>
    <n v="6044"/>
    <n v="6613"/>
    <n v="184664"/>
    <n v="193747"/>
    <m/>
    <m/>
    <m/>
    <m/>
    <m/>
    <m/>
    <m/>
    <m/>
    <n v="0"/>
    <n v="0"/>
    <n v="0"/>
    <n v="0"/>
    <m/>
    <m/>
    <n v="0"/>
    <n v="0"/>
    <m/>
    <m/>
    <n v="2223"/>
    <n v="2591"/>
    <n v="1523"/>
    <n v="2170"/>
    <n v="2528"/>
    <n v="3047"/>
    <n v="6274"/>
    <n v="261.41666666666669"/>
    <n v="7808"/>
    <n v="325.33333333333331"/>
    <n v="6416.8833333333332"/>
    <n v="6783.5666666666666"/>
  </r>
  <r>
    <x v="12"/>
    <s v="Chattanooga State Technical Community College "/>
    <n v="219824"/>
    <x v="6"/>
    <s v="sem"/>
    <s v="sem"/>
    <m/>
    <m/>
    <n v="66587"/>
    <n v="76909"/>
    <n v="13892"/>
    <n v="16208"/>
    <n v="80011"/>
    <n v="89809"/>
    <n v="160490"/>
    <n v="5349.666666666667"/>
    <n v="182926"/>
    <n v="6097.5333333333338"/>
    <n v="10495"/>
    <n v="10335"/>
    <n v="160490"/>
    <n v="182926"/>
    <m/>
    <m/>
    <m/>
    <m/>
    <m/>
    <m/>
    <m/>
    <m/>
    <n v="0"/>
    <n v="0"/>
    <n v="0"/>
    <n v="0"/>
    <m/>
    <m/>
    <n v="0"/>
    <n v="0"/>
    <m/>
    <m/>
    <m/>
    <m/>
    <m/>
    <m/>
    <m/>
    <m/>
    <n v="0"/>
    <n v="0"/>
    <n v="0"/>
    <n v="0"/>
    <n v="5349.666666666667"/>
    <n v="6097.5333333333338"/>
  </r>
  <r>
    <x v="12"/>
    <s v="Pellissippi State Technical Community College"/>
    <n v="221643"/>
    <x v="6"/>
    <s v="sem"/>
    <s v="sem"/>
    <m/>
    <m/>
    <n v="78038"/>
    <n v="81902"/>
    <n v="19342"/>
    <n v="20427"/>
    <n v="85295"/>
    <n v="100428"/>
    <n v="182675"/>
    <n v="6089.166666666667"/>
    <n v="202757"/>
    <n v="6758.5666666666666"/>
    <n v="3523"/>
    <n v="4903"/>
    <n v="182675"/>
    <n v="202757"/>
    <m/>
    <m/>
    <m/>
    <m/>
    <m/>
    <m/>
    <m/>
    <m/>
    <n v="0"/>
    <n v="0"/>
    <n v="0"/>
    <n v="0"/>
    <m/>
    <m/>
    <n v="0"/>
    <n v="0"/>
    <m/>
    <m/>
    <m/>
    <m/>
    <m/>
    <m/>
    <m/>
    <m/>
    <n v="0"/>
    <n v="0"/>
    <n v="0"/>
    <n v="0"/>
    <n v="6089.166666666667"/>
    <n v="6758.5666666666666"/>
  </r>
  <r>
    <x v="12"/>
    <s v="Southwest Tennessee Community College"/>
    <n v="221485"/>
    <x v="6"/>
    <s v="sem"/>
    <s v="sem"/>
    <m/>
    <m/>
    <n v="95628"/>
    <n v="105587"/>
    <n v="30543"/>
    <n v="35042"/>
    <n v="108283"/>
    <n v="126973"/>
    <n v="234454"/>
    <n v="7815.1333333333332"/>
    <n v="267602"/>
    <n v="8920.0666666666675"/>
    <n v="1173"/>
    <n v="1585"/>
    <n v="234454"/>
    <n v="267602"/>
    <m/>
    <m/>
    <m/>
    <m/>
    <m/>
    <m/>
    <m/>
    <m/>
    <n v="0"/>
    <n v="0"/>
    <n v="0"/>
    <n v="0"/>
    <m/>
    <m/>
    <n v="0"/>
    <n v="0"/>
    <m/>
    <m/>
    <m/>
    <m/>
    <m/>
    <m/>
    <m/>
    <m/>
    <n v="0"/>
    <n v="0"/>
    <n v="0"/>
    <n v="0"/>
    <n v="7815.1333333333332"/>
    <n v="8920.0666666666675"/>
  </r>
  <r>
    <x v="12"/>
    <s v="Cleveland State Community College "/>
    <n v="219879"/>
    <x v="7"/>
    <s v="sem"/>
    <s v="sem"/>
    <m/>
    <m/>
    <n v="28197"/>
    <n v="31042"/>
    <n v="5104"/>
    <n v="5298"/>
    <n v="32924"/>
    <n v="37564"/>
    <n v="66225"/>
    <n v="2207.5"/>
    <n v="73904"/>
    <n v="2463.4666666666667"/>
    <n v="2603"/>
    <n v="3358"/>
    <n v="66225"/>
    <n v="73904"/>
    <m/>
    <m/>
    <m/>
    <m/>
    <m/>
    <m/>
    <m/>
    <m/>
    <n v="0"/>
    <n v="0"/>
    <n v="0"/>
    <n v="0"/>
    <m/>
    <m/>
    <n v="0"/>
    <n v="0"/>
    <m/>
    <m/>
    <m/>
    <m/>
    <m/>
    <m/>
    <m/>
    <m/>
    <n v="0"/>
    <n v="0"/>
    <n v="0"/>
    <n v="0"/>
    <n v="2207.5"/>
    <n v="2463.4666666666667"/>
  </r>
  <r>
    <x v="12"/>
    <s v="Columbia State Community College "/>
    <n v="219888"/>
    <x v="7"/>
    <s v="sem"/>
    <s v="sem"/>
    <m/>
    <m/>
    <n v="40903"/>
    <n v="42495"/>
    <n v="8676"/>
    <n v="9295"/>
    <n v="46216"/>
    <n v="53531"/>
    <n v="95795"/>
    <n v="3193.1666666666665"/>
    <n v="105321"/>
    <n v="3510.7"/>
    <n v="3587"/>
    <n v="4237"/>
    <n v="95795"/>
    <n v="105321"/>
    <m/>
    <m/>
    <m/>
    <m/>
    <m/>
    <m/>
    <m/>
    <m/>
    <n v="0"/>
    <n v="0"/>
    <n v="0"/>
    <n v="0"/>
    <m/>
    <m/>
    <n v="0"/>
    <n v="0"/>
    <m/>
    <m/>
    <m/>
    <m/>
    <m/>
    <m/>
    <m/>
    <m/>
    <n v="0"/>
    <n v="0"/>
    <n v="0"/>
    <n v="0"/>
    <n v="3193.1666666666665"/>
    <n v="3510.7"/>
  </r>
  <r>
    <x v="12"/>
    <s v="Jackson State Community College "/>
    <n v="220400"/>
    <x v="7"/>
    <s v="sem"/>
    <s v="sem"/>
    <m/>
    <m/>
    <n v="39424"/>
    <n v="41865"/>
    <n v="10798"/>
    <n v="10622"/>
    <n v="42051"/>
    <n v="49693"/>
    <n v="92273"/>
    <n v="3075.7666666666669"/>
    <n v="102180"/>
    <n v="3406"/>
    <n v="2353"/>
    <n v="3917"/>
    <n v="92273"/>
    <n v="102180"/>
    <m/>
    <m/>
    <m/>
    <m/>
    <m/>
    <m/>
    <m/>
    <m/>
    <n v="0"/>
    <n v="0"/>
    <n v="0"/>
    <n v="0"/>
    <m/>
    <m/>
    <n v="0"/>
    <n v="0"/>
    <m/>
    <m/>
    <m/>
    <m/>
    <m/>
    <m/>
    <m/>
    <m/>
    <n v="0"/>
    <n v="0"/>
    <n v="0"/>
    <n v="0"/>
    <n v="3075.7666666666669"/>
    <n v="3406"/>
  </r>
  <r>
    <x v="12"/>
    <s v="Motlow State Community College "/>
    <n v="221096"/>
    <x v="7"/>
    <s v="sem"/>
    <s v="sem"/>
    <m/>
    <m/>
    <n v="39112"/>
    <n v="41691"/>
    <n v="6787"/>
    <n v="7621"/>
    <n v="43378"/>
    <n v="50300"/>
    <n v="89277"/>
    <n v="2975.9"/>
    <n v="99612"/>
    <n v="3320.4"/>
    <n v="2974"/>
    <n v="4385"/>
    <n v="89277"/>
    <n v="99612"/>
    <m/>
    <m/>
    <m/>
    <m/>
    <m/>
    <m/>
    <m/>
    <m/>
    <n v="0"/>
    <n v="0"/>
    <n v="0"/>
    <n v="0"/>
    <m/>
    <m/>
    <n v="0"/>
    <n v="0"/>
    <m/>
    <m/>
    <m/>
    <m/>
    <m/>
    <m/>
    <m/>
    <m/>
    <n v="0"/>
    <n v="0"/>
    <n v="0"/>
    <n v="0"/>
    <n v="2975.9"/>
    <n v="3320.4"/>
  </r>
  <r>
    <x v="12"/>
    <s v="Nashville State Technical Community College"/>
    <n v="221184"/>
    <x v="7"/>
    <s v="sem"/>
    <s v="sem"/>
    <m/>
    <m/>
    <n v="57887"/>
    <n v="67556"/>
    <n v="17138"/>
    <n v="20302"/>
    <n v="64723"/>
    <n v="77309"/>
    <n v="139748"/>
    <n v="4658.2666666666664"/>
    <n v="165167"/>
    <n v="5505.5666666666666"/>
    <n v="3651"/>
    <n v="4701"/>
    <n v="139748"/>
    <n v="165167"/>
    <m/>
    <m/>
    <m/>
    <m/>
    <m/>
    <m/>
    <m/>
    <m/>
    <n v="0"/>
    <n v="0"/>
    <n v="0"/>
    <n v="0"/>
    <m/>
    <m/>
    <n v="0"/>
    <n v="0"/>
    <m/>
    <m/>
    <m/>
    <m/>
    <m/>
    <m/>
    <m/>
    <m/>
    <n v="0"/>
    <n v="0"/>
    <n v="0"/>
    <n v="0"/>
    <n v="4658.2666666666664"/>
    <n v="5505.5666666666666"/>
  </r>
  <r>
    <x v="12"/>
    <s v="Northeast State Technical Community College"/>
    <n v="221908"/>
    <x v="7"/>
    <s v="sem"/>
    <s v="sem"/>
    <m/>
    <m/>
    <n v="46909"/>
    <n v="52062"/>
    <n v="10318"/>
    <n v="12208"/>
    <n v="54086"/>
    <n v="63466"/>
    <n v="111313"/>
    <n v="3710.4333333333334"/>
    <n v="127736"/>
    <n v="4257.8666666666668"/>
    <n v="2391"/>
    <n v="2765"/>
    <n v="111313"/>
    <n v="127736"/>
    <m/>
    <m/>
    <m/>
    <m/>
    <m/>
    <m/>
    <m/>
    <m/>
    <n v="0"/>
    <n v="0"/>
    <n v="0"/>
    <n v="0"/>
    <m/>
    <m/>
    <n v="0"/>
    <n v="0"/>
    <m/>
    <m/>
    <m/>
    <m/>
    <m/>
    <m/>
    <m/>
    <m/>
    <n v="0"/>
    <n v="0"/>
    <n v="0"/>
    <n v="0"/>
    <n v="3710.4333333333334"/>
    <n v="4257.8666666666668"/>
  </r>
  <r>
    <x v="12"/>
    <s v="Roane State Community College "/>
    <n v="221397"/>
    <x v="7"/>
    <s v="sem"/>
    <s v="sem"/>
    <m/>
    <m/>
    <n v="50491"/>
    <n v="53063"/>
    <n v="6892"/>
    <n v="7676"/>
    <n v="56492"/>
    <n v="63409"/>
    <n v="113875"/>
    <n v="3795.8333333333335"/>
    <n v="124148"/>
    <n v="4138.2666666666664"/>
    <n v="4113"/>
    <n v="6241"/>
    <n v="113875"/>
    <n v="124148"/>
    <m/>
    <m/>
    <m/>
    <m/>
    <m/>
    <m/>
    <m/>
    <m/>
    <n v="0"/>
    <n v="0"/>
    <n v="0"/>
    <n v="0"/>
    <m/>
    <m/>
    <n v="0"/>
    <n v="0"/>
    <m/>
    <m/>
    <m/>
    <m/>
    <m/>
    <m/>
    <m/>
    <m/>
    <n v="0"/>
    <n v="0"/>
    <n v="0"/>
    <n v="0"/>
    <n v="3795.8333333333335"/>
    <n v="4138.2666666666664"/>
  </r>
  <r>
    <x v="12"/>
    <s v="Volunteer State Community College "/>
    <n v="222053"/>
    <x v="7"/>
    <s v="sem"/>
    <s v="sem"/>
    <m/>
    <m/>
    <n v="59251"/>
    <n v="64318"/>
    <n v="15518"/>
    <n v="18398"/>
    <n v="68735"/>
    <n v="82521"/>
    <n v="143504"/>
    <n v="4783.4666666666662"/>
    <n v="165237"/>
    <n v="5507.9"/>
    <n v="8757"/>
    <n v="8823"/>
    <n v="143504"/>
    <n v="165237"/>
    <m/>
    <m/>
    <m/>
    <m/>
    <m/>
    <m/>
    <m/>
    <m/>
    <n v="0"/>
    <n v="0"/>
    <n v="0"/>
    <n v="0"/>
    <m/>
    <m/>
    <n v="0"/>
    <n v="0"/>
    <m/>
    <m/>
    <m/>
    <m/>
    <m/>
    <m/>
    <m/>
    <m/>
    <n v="0"/>
    <n v="0"/>
    <n v="0"/>
    <n v="0"/>
    <n v="4783.4666666666662"/>
    <n v="5507.9"/>
  </r>
  <r>
    <x v="12"/>
    <s v="Walters State Community College "/>
    <n v="222062"/>
    <x v="7"/>
    <s v="sem"/>
    <s v="sem"/>
    <m/>
    <m/>
    <n v="52942"/>
    <n v="57639"/>
    <n v="10613"/>
    <n v="10915"/>
    <n v="61230"/>
    <n v="71698"/>
    <n v="124785"/>
    <n v="4159.5"/>
    <n v="140252"/>
    <n v="4675.0666666666666"/>
    <n v="6394"/>
    <n v="6763"/>
    <n v="124785"/>
    <n v="140252"/>
    <m/>
    <m/>
    <m/>
    <m/>
    <s v=" "/>
    <m/>
    <m/>
    <m/>
    <n v="0"/>
    <n v="0"/>
    <n v="0"/>
    <n v="0"/>
    <m/>
    <m/>
    <n v="0"/>
    <n v="0"/>
    <m/>
    <m/>
    <m/>
    <m/>
    <m/>
    <m/>
    <m/>
    <m/>
    <n v="0"/>
    <n v="0"/>
    <n v="0"/>
    <n v="0"/>
    <n v="4159.5"/>
    <n v="4675.0666666666666"/>
  </r>
  <r>
    <x v="12"/>
    <s v="Dyersburg State Community College "/>
    <n v="220057"/>
    <x v="8"/>
    <s v="sem"/>
    <s v="sem"/>
    <m/>
    <m/>
    <n v="22096"/>
    <n v="24888"/>
    <n v="3333"/>
    <n v="3707"/>
    <n v="26113"/>
    <n v="33190"/>
    <n v="51542"/>
    <n v="1718.0666666666666"/>
    <n v="61785"/>
    <n v="2059.5"/>
    <n v="3629"/>
    <n v="3794"/>
    <n v="51542"/>
    <n v="61785"/>
    <m/>
    <m/>
    <m/>
    <m/>
    <m/>
    <m/>
    <m/>
    <m/>
    <n v="0"/>
    <n v="0"/>
    <n v="0"/>
    <n v="0"/>
    <m/>
    <m/>
    <n v="0"/>
    <n v="0"/>
    <m/>
    <m/>
    <m/>
    <m/>
    <m/>
    <m/>
    <m/>
    <m/>
    <n v="0"/>
    <n v="0"/>
    <n v="0"/>
    <n v="0"/>
    <n v="1718.0666666666666"/>
    <n v="2059.5"/>
  </r>
  <r>
    <x v="12"/>
    <s v="Tennessee Technology Center at Athens"/>
    <n v="219596"/>
    <x v="10"/>
    <s v="sem"/>
    <s v="sem"/>
    <m/>
    <m/>
    <m/>
    <m/>
    <m/>
    <m/>
    <m/>
    <m/>
    <n v="0"/>
    <n v="0"/>
    <n v="0"/>
    <n v="0"/>
    <m/>
    <m/>
    <n v="0"/>
    <n v="0"/>
    <m/>
    <m/>
    <n v="85116"/>
    <n v="88293"/>
    <n v="84080"/>
    <n v="81886"/>
    <n v="85132"/>
    <n v="95781"/>
    <n v="254328"/>
    <n v="282.58666666666664"/>
    <n v="265960"/>
    <n v="295.51111111111112"/>
    <m/>
    <m/>
    <n v="0"/>
    <n v="0"/>
    <m/>
    <m/>
    <m/>
    <m/>
    <m/>
    <m/>
    <m/>
    <m/>
    <n v="0"/>
    <n v="0"/>
    <n v="0"/>
    <n v="0"/>
    <n v="282.58666666666664"/>
    <n v="295.51111111111112"/>
  </r>
  <r>
    <x v="12"/>
    <s v="Tennessee Technology Center at Chattanooga"/>
    <s v="219824B"/>
    <x v="10"/>
    <s v="sem"/>
    <s v="sem"/>
    <m/>
    <m/>
    <m/>
    <m/>
    <m/>
    <m/>
    <m/>
    <m/>
    <n v="0"/>
    <n v="0"/>
    <n v="0"/>
    <n v="0"/>
    <m/>
    <m/>
    <n v="0"/>
    <n v="0"/>
    <m/>
    <m/>
    <n v="282622"/>
    <n v="350286"/>
    <n v="183284"/>
    <n v="216035"/>
    <n v="330503"/>
    <n v="363924"/>
    <n v="796409"/>
    <n v="884.89888888888891"/>
    <n v="930245"/>
    <n v="1033.6055555555556"/>
    <m/>
    <m/>
    <n v="0"/>
    <n v="0"/>
    <m/>
    <m/>
    <m/>
    <m/>
    <m/>
    <m/>
    <m/>
    <m/>
    <n v="0"/>
    <n v="0"/>
    <n v="0"/>
    <n v="0"/>
    <n v="884.89888888888891"/>
    <n v="1033.6055555555556"/>
  </r>
  <r>
    <x v="12"/>
    <s v="Tennessee Technology Center at Covington"/>
    <n v="219921"/>
    <x v="10"/>
    <s v="sem"/>
    <s v="sem"/>
    <m/>
    <m/>
    <m/>
    <m/>
    <m/>
    <m/>
    <m/>
    <m/>
    <n v="0"/>
    <n v="0"/>
    <n v="0"/>
    <n v="0"/>
    <m/>
    <m/>
    <n v="0"/>
    <n v="0"/>
    <m/>
    <m/>
    <n v="50201"/>
    <n v="63157"/>
    <n v="45434"/>
    <n v="55808"/>
    <n v="65644"/>
    <n v="70760"/>
    <n v="161279"/>
    <n v="179.19888888888889"/>
    <n v="189725"/>
    <n v="210.80555555555554"/>
    <m/>
    <m/>
    <n v="0"/>
    <n v="0"/>
    <m/>
    <m/>
    <m/>
    <m/>
    <m/>
    <m/>
    <m/>
    <m/>
    <n v="0"/>
    <n v="0"/>
    <n v="0"/>
    <n v="0"/>
    <n v="179.19888888888889"/>
    <n v="210.80555555555554"/>
  </r>
  <r>
    <x v="12"/>
    <s v="Tennessee Technology Center at Crossville"/>
    <n v="221591"/>
    <x v="10"/>
    <s v="sem"/>
    <s v="sem"/>
    <m/>
    <m/>
    <m/>
    <m/>
    <m/>
    <m/>
    <m/>
    <m/>
    <n v="0"/>
    <n v="0"/>
    <n v="0"/>
    <n v="0"/>
    <m/>
    <m/>
    <n v="0"/>
    <n v="0"/>
    <m/>
    <m/>
    <n v="107793"/>
    <n v="146762"/>
    <n v="95938"/>
    <n v="139590"/>
    <n v="131254"/>
    <n v="142823"/>
    <n v="334985"/>
    <n v="372.20555555555558"/>
    <n v="429175"/>
    <n v="476.86111111111109"/>
    <m/>
    <m/>
    <n v="0"/>
    <n v="0"/>
    <m/>
    <m/>
    <m/>
    <m/>
    <m/>
    <m/>
    <m/>
    <m/>
    <n v="0"/>
    <n v="0"/>
    <n v="0"/>
    <n v="0"/>
    <n v="372.20555555555558"/>
    <n v="476.86111111111109"/>
  </r>
  <r>
    <x v="12"/>
    <s v="Tennessee Technology Center at Crump"/>
    <n v="221430"/>
    <x v="10"/>
    <s v="sem"/>
    <s v="sem"/>
    <m/>
    <m/>
    <m/>
    <m/>
    <m/>
    <m/>
    <m/>
    <m/>
    <n v="0"/>
    <n v="0"/>
    <n v="0"/>
    <n v="0"/>
    <m/>
    <m/>
    <n v="0"/>
    <n v="0"/>
    <m/>
    <m/>
    <n v="77807"/>
    <n v="82549"/>
    <n v="70438"/>
    <n v="78804"/>
    <n v="84087"/>
    <n v="108907"/>
    <n v="232332"/>
    <n v="258.14666666666665"/>
    <n v="270260"/>
    <n v="300.28888888888889"/>
    <m/>
    <m/>
    <n v="0"/>
    <n v="0"/>
    <m/>
    <m/>
    <m/>
    <m/>
    <m/>
    <m/>
    <m/>
    <m/>
    <n v="0"/>
    <n v="0"/>
    <n v="0"/>
    <n v="0"/>
    <n v="258.14666666666665"/>
    <n v="300.28888888888889"/>
  </r>
  <r>
    <x v="12"/>
    <s v="Tennessee Technology Center at Dickson"/>
    <n v="219994"/>
    <x v="10"/>
    <s v="sem"/>
    <s v="sem"/>
    <m/>
    <m/>
    <m/>
    <m/>
    <m/>
    <m/>
    <m/>
    <m/>
    <n v="0"/>
    <n v="0"/>
    <n v="0"/>
    <n v="0"/>
    <m/>
    <m/>
    <n v="0"/>
    <n v="0"/>
    <m/>
    <m/>
    <n v="145228"/>
    <n v="166202"/>
    <n v="143510"/>
    <n v="158361"/>
    <n v="166274"/>
    <n v="197881"/>
    <n v="455012"/>
    <n v="505.56888888888886"/>
    <n v="522444"/>
    <n v="580.49333333333334"/>
    <m/>
    <m/>
    <n v="0"/>
    <n v="0"/>
    <m/>
    <m/>
    <m/>
    <m/>
    <m/>
    <m/>
    <m/>
    <m/>
    <n v="0"/>
    <n v="0"/>
    <n v="0"/>
    <n v="0"/>
    <n v="505.56888888888886"/>
    <n v="580.49333333333334"/>
  </r>
  <r>
    <x v="12"/>
    <s v="Tennessee Technology Center at Elizabethton"/>
    <n v="220127"/>
    <x v="10"/>
    <s v="sem"/>
    <s v="sem"/>
    <m/>
    <m/>
    <m/>
    <m/>
    <m/>
    <m/>
    <m/>
    <m/>
    <n v="0"/>
    <n v="0"/>
    <n v="0"/>
    <n v="0"/>
    <m/>
    <m/>
    <n v="0"/>
    <n v="0"/>
    <m/>
    <m/>
    <n v="162439"/>
    <n v="160450"/>
    <n v="153363"/>
    <n v="157416"/>
    <n v="154189"/>
    <n v="182091"/>
    <n v="469991"/>
    <n v="522.21222222222218"/>
    <n v="499957"/>
    <n v="555.50777777777773"/>
    <m/>
    <m/>
    <n v="0"/>
    <n v="0"/>
    <m/>
    <m/>
    <m/>
    <m/>
    <m/>
    <m/>
    <m/>
    <m/>
    <n v="0"/>
    <n v="0"/>
    <n v="0"/>
    <n v="0"/>
    <n v="522.21222222222218"/>
    <n v="555.50777777777773"/>
  </r>
  <r>
    <x v="12"/>
    <s v="Tennessee Technology Center at Harriman"/>
    <n v="220251"/>
    <x v="10"/>
    <s v="sem"/>
    <s v="sem"/>
    <m/>
    <m/>
    <m/>
    <m/>
    <m/>
    <m/>
    <m/>
    <m/>
    <n v="0"/>
    <n v="0"/>
    <n v="0"/>
    <n v="0"/>
    <m/>
    <m/>
    <n v="0"/>
    <n v="0"/>
    <m/>
    <m/>
    <n v="63627"/>
    <n v="85877"/>
    <n v="67253"/>
    <n v="92873"/>
    <n v="93494"/>
    <n v="116239"/>
    <n v="224374"/>
    <n v="249.30444444444444"/>
    <n v="294989"/>
    <n v="327.76555555555558"/>
    <m/>
    <m/>
    <n v="0"/>
    <n v="0"/>
    <m/>
    <m/>
    <m/>
    <m/>
    <m/>
    <m/>
    <m/>
    <m/>
    <n v="0"/>
    <n v="0"/>
    <n v="0"/>
    <n v="0"/>
    <n v="249.30444444444444"/>
    <n v="327.76555555555558"/>
  </r>
  <r>
    <x v="12"/>
    <s v="Tennessee Technology Center at Hartsville"/>
    <n v="220279"/>
    <x v="10"/>
    <s v="sem"/>
    <s v="sem"/>
    <m/>
    <m/>
    <m/>
    <m/>
    <m/>
    <m/>
    <m/>
    <m/>
    <n v="0"/>
    <n v="0"/>
    <n v="0"/>
    <n v="0"/>
    <m/>
    <m/>
    <n v="0"/>
    <n v="0"/>
    <m/>
    <m/>
    <n v="72841"/>
    <n v="124316"/>
    <n v="75756"/>
    <n v="116097"/>
    <n v="119218"/>
    <n v="142930"/>
    <n v="267815"/>
    <n v="297.57222222222219"/>
    <n v="383343"/>
    <n v="425.93666666666667"/>
    <m/>
    <m/>
    <n v="0"/>
    <n v="0"/>
    <m/>
    <m/>
    <m/>
    <m/>
    <m/>
    <m/>
    <m/>
    <m/>
    <n v="0"/>
    <n v="0"/>
    <n v="0"/>
    <n v="0"/>
    <n v="297.57222222222219"/>
    <n v="425.93666666666667"/>
  </r>
  <r>
    <x v="12"/>
    <s v="Tennessee Technology Center at Hohenwald"/>
    <n v="220321"/>
    <x v="10"/>
    <s v="sem"/>
    <s v="sem"/>
    <m/>
    <m/>
    <m/>
    <m/>
    <m/>
    <m/>
    <m/>
    <m/>
    <n v="0"/>
    <n v="0"/>
    <n v="0"/>
    <n v="0"/>
    <m/>
    <m/>
    <n v="0"/>
    <n v="0"/>
    <m/>
    <m/>
    <n v="138721"/>
    <n v="148615"/>
    <n v="110226"/>
    <n v="138275"/>
    <n v="129947"/>
    <n v="155295"/>
    <n v="378894"/>
    <n v="420.99333333333334"/>
    <n v="442185"/>
    <n v="491.31666666666666"/>
    <m/>
    <m/>
    <n v="0"/>
    <n v="0"/>
    <m/>
    <m/>
    <m/>
    <m/>
    <m/>
    <m/>
    <m/>
    <m/>
    <n v="0"/>
    <n v="0"/>
    <n v="0"/>
    <n v="0"/>
    <n v="420.99333333333334"/>
    <n v="491.31666666666666"/>
  </r>
  <r>
    <x v="12"/>
    <s v="Tennessee Technology Center at Jacksboro"/>
    <n v="220394"/>
    <x v="10"/>
    <s v="sem"/>
    <s v="sem"/>
    <m/>
    <m/>
    <m/>
    <m/>
    <m/>
    <m/>
    <m/>
    <m/>
    <n v="0"/>
    <n v="0"/>
    <n v="0"/>
    <n v="0"/>
    <m/>
    <m/>
    <n v="0"/>
    <n v="0"/>
    <m/>
    <m/>
    <n v="50201"/>
    <n v="58414"/>
    <n v="44667"/>
    <n v="62482"/>
    <n v="63073"/>
    <n v="82312"/>
    <n v="157941"/>
    <n v="175.49"/>
    <n v="203208"/>
    <n v="225.78666666666666"/>
    <m/>
    <m/>
    <n v="0"/>
    <n v="0"/>
    <m/>
    <m/>
    <m/>
    <m/>
    <m/>
    <m/>
    <m/>
    <m/>
    <n v="0"/>
    <n v="0"/>
    <n v="0"/>
    <n v="0"/>
    <n v="175.49"/>
    <n v="225.78666666666666"/>
  </r>
  <r>
    <x v="12"/>
    <s v="Tennessee Technology Center at Jackson"/>
    <n v="221616"/>
    <x v="10"/>
    <s v="sem"/>
    <s v="sem"/>
    <m/>
    <m/>
    <m/>
    <m/>
    <m/>
    <m/>
    <m/>
    <m/>
    <n v="0"/>
    <n v="0"/>
    <n v="0"/>
    <n v="0"/>
    <m/>
    <m/>
    <n v="0"/>
    <n v="0"/>
    <m/>
    <m/>
    <n v="172479"/>
    <n v="195080"/>
    <n v="171979"/>
    <n v="186345"/>
    <n v="187537"/>
    <n v="235613"/>
    <n v="531995"/>
    <n v="591.10555555555561"/>
    <n v="617038"/>
    <n v="685.59777777777776"/>
    <m/>
    <m/>
    <n v="0"/>
    <n v="0"/>
    <m/>
    <m/>
    <m/>
    <m/>
    <m/>
    <m/>
    <m/>
    <m/>
    <n v="0"/>
    <n v="0"/>
    <n v="0"/>
    <n v="0"/>
    <n v="591.10555555555561"/>
    <n v="685.59777777777776"/>
  </r>
  <r>
    <x v="12"/>
    <s v="Tennessee Technology Center at Knoxville"/>
    <n v="221625"/>
    <x v="10"/>
    <s v="sem"/>
    <s v="sem"/>
    <m/>
    <m/>
    <m/>
    <m/>
    <m/>
    <m/>
    <m/>
    <m/>
    <n v="0"/>
    <n v="0"/>
    <n v="0"/>
    <n v="0"/>
    <m/>
    <m/>
    <n v="0"/>
    <n v="0"/>
    <m/>
    <m/>
    <n v="186513"/>
    <n v="214268"/>
    <n v="192756"/>
    <n v="224202"/>
    <n v="218637"/>
    <n v="251524"/>
    <n v="597906"/>
    <n v="664.34"/>
    <n v="689994"/>
    <n v="766.66"/>
    <m/>
    <m/>
    <n v="0"/>
    <n v="0"/>
    <m/>
    <m/>
    <m/>
    <m/>
    <m/>
    <m/>
    <m/>
    <m/>
    <n v="0"/>
    <n v="0"/>
    <n v="0"/>
    <n v="0"/>
    <n v="664.34"/>
    <n v="766.66"/>
  </r>
  <r>
    <x v="12"/>
    <s v="Tennessee Technology Center at Livingston"/>
    <n v="220640"/>
    <x v="10"/>
    <s v="sem"/>
    <s v="sem"/>
    <m/>
    <m/>
    <m/>
    <m/>
    <m/>
    <m/>
    <m/>
    <m/>
    <n v="0"/>
    <n v="0"/>
    <n v="0"/>
    <n v="0"/>
    <m/>
    <m/>
    <n v="0"/>
    <n v="0"/>
    <m/>
    <m/>
    <n v="150732"/>
    <n v="153266"/>
    <n v="124841"/>
    <n v="123679"/>
    <n v="149280"/>
    <n v="155861"/>
    <n v="424853"/>
    <n v="472.05888888888887"/>
    <n v="432806"/>
    <n v="480.89555555555557"/>
    <m/>
    <m/>
    <n v="0"/>
    <n v="0"/>
    <m/>
    <m/>
    <m/>
    <m/>
    <m/>
    <m/>
    <m/>
    <m/>
    <n v="0"/>
    <n v="0"/>
    <n v="0"/>
    <n v="0"/>
    <n v="472.05888888888887"/>
    <n v="480.89555555555557"/>
  </r>
  <r>
    <x v="12"/>
    <s v="Tennessee Technology Center at McKenzie"/>
    <n v="220756"/>
    <x v="10"/>
    <s v="sem"/>
    <s v="sem"/>
    <m/>
    <m/>
    <m/>
    <m/>
    <m/>
    <m/>
    <m/>
    <m/>
    <n v="0"/>
    <n v="0"/>
    <n v="0"/>
    <n v="0"/>
    <m/>
    <m/>
    <n v="0"/>
    <n v="0"/>
    <m/>
    <m/>
    <n v="85650"/>
    <n v="95481"/>
    <n v="74290"/>
    <n v="99244"/>
    <n v="95402"/>
    <n v="105764"/>
    <n v="255342"/>
    <n v="283.71333333333331"/>
    <n v="300489"/>
    <n v="333.87666666666667"/>
    <m/>
    <m/>
    <n v="0"/>
    <n v="0"/>
    <m/>
    <m/>
    <m/>
    <m/>
    <m/>
    <m/>
    <m/>
    <m/>
    <n v="0"/>
    <n v="0"/>
    <n v="0"/>
    <n v="0"/>
    <n v="283.71333333333331"/>
    <n v="333.87666666666667"/>
  </r>
  <r>
    <x v="12"/>
    <s v="Tennessee Technology Center at McMinnville"/>
    <n v="221607"/>
    <x v="10"/>
    <s v="sem"/>
    <s v="sem"/>
    <m/>
    <m/>
    <m/>
    <m/>
    <m/>
    <m/>
    <m/>
    <m/>
    <n v="0"/>
    <n v="0"/>
    <n v="0"/>
    <n v="0"/>
    <m/>
    <m/>
    <n v="0"/>
    <n v="0"/>
    <m/>
    <m/>
    <n v="72144"/>
    <n v="94790"/>
    <n v="71465"/>
    <n v="92031"/>
    <n v="88486"/>
    <n v="116441"/>
    <n v="232095"/>
    <n v="257.88333333333333"/>
    <n v="303262"/>
    <n v="336.95777777777778"/>
    <m/>
    <m/>
    <n v="0"/>
    <n v="0"/>
    <m/>
    <m/>
    <m/>
    <m/>
    <m/>
    <m/>
    <m/>
    <m/>
    <n v="0"/>
    <n v="0"/>
    <n v="0"/>
    <n v="0"/>
    <n v="257.88333333333333"/>
    <n v="336.95777777777778"/>
  </r>
  <r>
    <x v="12"/>
    <s v="Tennessee Technology Center at Memphis"/>
    <n v="220853"/>
    <x v="10"/>
    <s v="sem"/>
    <s v="sem"/>
    <m/>
    <m/>
    <m/>
    <m/>
    <m/>
    <m/>
    <m/>
    <m/>
    <n v="0"/>
    <n v="0"/>
    <n v="0"/>
    <n v="0"/>
    <m/>
    <m/>
    <n v="0"/>
    <n v="0"/>
    <m/>
    <m/>
    <n v="256106"/>
    <n v="253245"/>
    <n v="227890"/>
    <n v="234382"/>
    <n v="244138"/>
    <n v="247835"/>
    <n v="728134"/>
    <n v="809.03777777777782"/>
    <n v="735462"/>
    <n v="817.18"/>
    <m/>
    <m/>
    <n v="0"/>
    <n v="0"/>
    <m/>
    <m/>
    <m/>
    <m/>
    <m/>
    <m/>
    <m/>
    <m/>
    <n v="0"/>
    <n v="0"/>
    <n v="0"/>
    <n v="0"/>
    <n v="809.03777777777782"/>
    <n v="817.18"/>
  </r>
  <r>
    <x v="12"/>
    <s v="Tennessee Technology Center at Morristown"/>
    <n v="221050"/>
    <x v="10"/>
    <s v="sem"/>
    <s v="sem"/>
    <m/>
    <m/>
    <m/>
    <m/>
    <m/>
    <m/>
    <m/>
    <m/>
    <n v="0"/>
    <n v="0"/>
    <n v="0"/>
    <n v="0"/>
    <m/>
    <m/>
    <n v="0"/>
    <n v="0"/>
    <m/>
    <m/>
    <n v="180931"/>
    <n v="202261"/>
    <n v="173966"/>
    <n v="203765"/>
    <n v="197528"/>
    <n v="228728"/>
    <n v="552425"/>
    <n v="613.80555555555554"/>
    <n v="634754"/>
    <n v="705.28222222222223"/>
    <m/>
    <m/>
    <n v="0"/>
    <n v="0"/>
    <m/>
    <m/>
    <m/>
    <m/>
    <m/>
    <m/>
    <m/>
    <m/>
    <n v="0"/>
    <n v="0"/>
    <n v="0"/>
    <n v="0"/>
    <n v="613.80555555555554"/>
    <n v="705.28222222222223"/>
  </r>
  <r>
    <x v="12"/>
    <s v="Tennessee Technology Center at Murfreesboro"/>
    <n v="221102"/>
    <x v="10"/>
    <s v="sem"/>
    <s v="sem"/>
    <m/>
    <m/>
    <m/>
    <m/>
    <m/>
    <m/>
    <m/>
    <m/>
    <n v="0"/>
    <n v="0"/>
    <n v="0"/>
    <n v="0"/>
    <m/>
    <m/>
    <n v="0"/>
    <n v="0"/>
    <m/>
    <m/>
    <n v="130806"/>
    <n v="133600"/>
    <n v="132996"/>
    <n v="146744"/>
    <n v="137140"/>
    <n v="153075"/>
    <n v="400942"/>
    <n v="445.49111111111114"/>
    <n v="433419"/>
    <n v="481.57666666666665"/>
    <m/>
    <m/>
    <n v="0"/>
    <n v="0"/>
    <m/>
    <m/>
    <m/>
    <m/>
    <m/>
    <m/>
    <m/>
    <m/>
    <n v="0"/>
    <n v="0"/>
    <n v="0"/>
    <n v="0"/>
    <n v="445.49111111111114"/>
    <n v="481.57666666666665"/>
  </r>
  <r>
    <x v="12"/>
    <s v="Tennessee Technology Center at Nashville"/>
    <n v="248925"/>
    <x v="10"/>
    <s v="sem"/>
    <s v="sem"/>
    <m/>
    <m/>
    <m/>
    <m/>
    <m/>
    <m/>
    <m/>
    <m/>
    <n v="0"/>
    <n v="0"/>
    <n v="0"/>
    <n v="0"/>
    <m/>
    <m/>
    <n v="0"/>
    <n v="0"/>
    <m/>
    <m/>
    <n v="223707"/>
    <n v="214059"/>
    <n v="196070"/>
    <n v="204348"/>
    <n v="221870"/>
    <n v="242434"/>
    <n v="641647"/>
    <n v="712.94111111111113"/>
    <n v="660841"/>
    <n v="734.26777777777772"/>
    <m/>
    <m/>
    <n v="0"/>
    <n v="0"/>
    <m/>
    <m/>
    <m/>
    <m/>
    <m/>
    <m/>
    <m/>
    <m/>
    <n v="0"/>
    <n v="0"/>
    <n v="0"/>
    <n v="0"/>
    <n v="712.94111111111113"/>
    <n v="734.26777777777772"/>
  </r>
  <r>
    <x v="12"/>
    <s v="Tennessee Technology Center at Newbern"/>
    <n v="221236"/>
    <x v="10"/>
    <s v="sem"/>
    <s v="sem"/>
    <m/>
    <m/>
    <m/>
    <m/>
    <m/>
    <m/>
    <m/>
    <m/>
    <n v="0"/>
    <n v="0"/>
    <n v="0"/>
    <n v="0"/>
    <m/>
    <m/>
    <n v="0"/>
    <n v="0"/>
    <m/>
    <m/>
    <n v="64564"/>
    <n v="88235"/>
    <n v="52782"/>
    <n v="77712"/>
    <n v="84404"/>
    <n v="109761"/>
    <n v="201750"/>
    <n v="224.16666666666666"/>
    <n v="275708"/>
    <n v="306.34222222222223"/>
    <m/>
    <m/>
    <n v="0"/>
    <n v="0"/>
    <m/>
    <m/>
    <m/>
    <m/>
    <m/>
    <m/>
    <m/>
    <m/>
    <n v="0"/>
    <n v="0"/>
    <n v="0"/>
    <n v="0"/>
    <n v="224.16666666666666"/>
    <n v="306.34222222222223"/>
  </r>
  <r>
    <x v="12"/>
    <s v="Tennessee Technology Center at Oneida"/>
    <n v="221582"/>
    <x v="10"/>
    <s v="sem"/>
    <s v="sem"/>
    <m/>
    <m/>
    <m/>
    <m/>
    <m/>
    <m/>
    <m/>
    <m/>
    <n v="0"/>
    <n v="0"/>
    <n v="0"/>
    <n v="0"/>
    <m/>
    <m/>
    <n v="0"/>
    <n v="0"/>
    <m/>
    <m/>
    <n v="85794"/>
    <n v="93781"/>
    <n v="56031"/>
    <n v="76317"/>
    <n v="97416"/>
    <n v="130436"/>
    <n v="239241"/>
    <n v="265.82333333333332"/>
    <n v="300534"/>
    <n v="333.92666666666668"/>
    <m/>
    <m/>
    <n v="0"/>
    <n v="0"/>
    <m/>
    <m/>
    <m/>
    <m/>
    <m/>
    <m/>
    <m/>
    <m/>
    <n v="0"/>
    <n v="0"/>
    <n v="0"/>
    <n v="0"/>
    <n v="265.82333333333332"/>
    <n v="333.92666666666668"/>
  </r>
  <r>
    <x v="12"/>
    <s v="Tennessee Technology Center at Paris"/>
    <n v="221281"/>
    <x v="10"/>
    <s v="sem"/>
    <s v="sem"/>
    <m/>
    <m/>
    <m/>
    <m/>
    <m/>
    <m/>
    <m/>
    <m/>
    <n v="0"/>
    <n v="0"/>
    <n v="0"/>
    <n v="0"/>
    <m/>
    <m/>
    <n v="0"/>
    <n v="0"/>
    <m/>
    <m/>
    <n v="106589"/>
    <n v="117139"/>
    <n v="106050"/>
    <n v="112590"/>
    <n v="119050"/>
    <n v="115958"/>
    <n v="331689"/>
    <n v="368.54333333333335"/>
    <n v="345687"/>
    <n v="384.09666666666669"/>
    <m/>
    <m/>
    <n v="0"/>
    <n v="0"/>
    <m/>
    <m/>
    <m/>
    <m/>
    <m/>
    <m/>
    <m/>
    <m/>
    <n v="0"/>
    <n v="0"/>
    <n v="0"/>
    <n v="0"/>
    <n v="368.54333333333335"/>
    <n v="384.09666666666669"/>
  </r>
  <r>
    <x v="12"/>
    <s v="Tennessee Technology Center at Pulaski"/>
    <n v="221333"/>
    <x v="10"/>
    <s v="sem"/>
    <s v="sem"/>
    <m/>
    <m/>
    <m/>
    <m/>
    <m/>
    <m/>
    <m/>
    <m/>
    <n v="0"/>
    <n v="0"/>
    <n v="0"/>
    <n v="0"/>
    <m/>
    <m/>
    <n v="0"/>
    <n v="0"/>
    <m/>
    <m/>
    <n v="96821"/>
    <n v="128133"/>
    <n v="64269"/>
    <n v="100183"/>
    <n v="108692"/>
    <n v="196874"/>
    <n v="269782"/>
    <n v="299.75777777777779"/>
    <n v="425190"/>
    <n v="472.43333333333334"/>
    <m/>
    <m/>
    <n v="0"/>
    <n v="0"/>
    <m/>
    <m/>
    <m/>
    <m/>
    <m/>
    <m/>
    <m/>
    <m/>
    <n v="0"/>
    <n v="0"/>
    <n v="0"/>
    <n v="0"/>
    <n v="299.75777777777779"/>
    <n v="472.43333333333334"/>
  </r>
  <r>
    <x v="12"/>
    <s v="Tennessee Technology Center at Ripley"/>
    <n v="221388"/>
    <x v="10"/>
    <s v="sem"/>
    <s v="sem"/>
    <m/>
    <m/>
    <m/>
    <m/>
    <m/>
    <m/>
    <m/>
    <m/>
    <n v="0"/>
    <n v="0"/>
    <n v="0"/>
    <n v="0"/>
    <m/>
    <m/>
    <n v="0"/>
    <n v="0"/>
    <m/>
    <m/>
    <n v="46566"/>
    <n v="65310"/>
    <n v="51498"/>
    <n v="61985"/>
    <n v="61821"/>
    <n v="77010"/>
    <n v="159885"/>
    <n v="177.65"/>
    <n v="204305"/>
    <n v="227.00555555555556"/>
    <m/>
    <m/>
    <n v="0"/>
    <n v="0"/>
    <m/>
    <m/>
    <m/>
    <m/>
    <m/>
    <m/>
    <m/>
    <m/>
    <n v="0"/>
    <n v="0"/>
    <n v="0"/>
    <n v="0"/>
    <n v="177.65"/>
    <n v="227.00555555555556"/>
  </r>
  <r>
    <x v="12"/>
    <s v="Tennessee Technology Center at Shelbyville"/>
    <n v="221494"/>
    <x v="10"/>
    <s v="sem"/>
    <s v="sem"/>
    <m/>
    <m/>
    <m/>
    <m/>
    <m/>
    <m/>
    <m/>
    <m/>
    <n v="0"/>
    <n v="0"/>
    <n v="0"/>
    <n v="0"/>
    <m/>
    <m/>
    <n v="0"/>
    <n v="0"/>
    <m/>
    <m/>
    <n v="152767"/>
    <n v="161903"/>
    <n v="139757"/>
    <n v="186914"/>
    <n v="172706"/>
    <n v="223473"/>
    <n v="465230"/>
    <n v="516.92222222222222"/>
    <n v="572290"/>
    <n v="635.87777777777774"/>
    <m/>
    <m/>
    <n v="0"/>
    <n v="0"/>
    <m/>
    <m/>
    <m/>
    <m/>
    <m/>
    <m/>
    <m/>
    <m/>
    <n v="0"/>
    <n v="0"/>
    <n v="0"/>
    <n v="0"/>
    <n v="516.92222222222222"/>
    <n v="635.87777777777774"/>
  </r>
  <r>
    <x v="12"/>
    <s v="Tennessee Technology Center at Whiteville"/>
    <n v="221634"/>
    <x v="10"/>
    <s v="sem"/>
    <s v="sem"/>
    <m/>
    <m/>
    <m/>
    <m/>
    <m/>
    <m/>
    <m/>
    <m/>
    <n v="0"/>
    <n v="0"/>
    <n v="0"/>
    <n v="0"/>
    <m/>
    <m/>
    <n v="0"/>
    <n v="0"/>
    <m/>
    <m/>
    <n v="53107"/>
    <n v="62125"/>
    <n v="53371"/>
    <n v="58200"/>
    <n v="60776"/>
    <n v="69704"/>
    <n v="167254"/>
    <n v="185.83777777777777"/>
    <n v="190029"/>
    <n v="211.14333333333335"/>
    <m/>
    <m/>
    <n v="0"/>
    <n v="0"/>
    <m/>
    <m/>
    <m/>
    <m/>
    <m/>
    <m/>
    <m/>
    <m/>
    <n v="0"/>
    <n v="0"/>
    <n v="0"/>
    <n v="0"/>
    <n v="185.83777777777777"/>
    <n v="211.14333333333335"/>
  </r>
  <r>
    <x v="13"/>
    <s v="Texas A&amp;M University "/>
    <n v="228723"/>
    <x v="0"/>
    <s v="sem"/>
    <s v="sem"/>
    <m/>
    <m/>
    <n v="465351"/>
    <n v="473014"/>
    <n v="80477"/>
    <n v="74384"/>
    <n v="512032"/>
    <n v="514938"/>
    <n v="1057860"/>
    <n v="35262"/>
    <n v="1062336"/>
    <n v="35411.199999999997"/>
    <n v="0"/>
    <n v="0"/>
    <n v="1057860"/>
    <n v="1062336"/>
    <m/>
    <m/>
    <m/>
    <m/>
    <m/>
    <m/>
    <m/>
    <m/>
    <n v="0"/>
    <n v="0"/>
    <n v="0"/>
    <n v="0"/>
    <m/>
    <m/>
    <n v="0"/>
    <n v="0"/>
    <m/>
    <m/>
    <n v="65539"/>
    <n v="68298"/>
    <n v="27780"/>
    <n v="27671"/>
    <n v="74606"/>
    <n v="77199"/>
    <n v="167925"/>
    <n v="6996.875"/>
    <n v="173168"/>
    <n v="7215.333333333333"/>
    <n v="42258.875"/>
    <n v="42626.533333333333"/>
  </r>
  <r>
    <x v="13"/>
    <s v="Texas Tech University "/>
    <n v="229115"/>
    <x v="0"/>
    <s v="sem"/>
    <s v="sem"/>
    <m/>
    <m/>
    <n v="282456"/>
    <n v="275750"/>
    <n v="54233"/>
    <n v="51752"/>
    <n v="313686"/>
    <n v="321333"/>
    <n v="650375"/>
    <n v="21679.166666666668"/>
    <n v="648835"/>
    <n v="21627.833333333332"/>
    <n v="0"/>
    <n v="0"/>
    <n v="650375"/>
    <n v="648835"/>
    <m/>
    <m/>
    <m/>
    <m/>
    <m/>
    <m/>
    <m/>
    <m/>
    <n v="0"/>
    <n v="0"/>
    <n v="0"/>
    <n v="0"/>
    <m/>
    <m/>
    <n v="0"/>
    <n v="0"/>
    <m/>
    <m/>
    <n v="42758"/>
    <n v="43138"/>
    <n v="18097"/>
    <n v="18616"/>
    <n v="44925"/>
    <n v="48015"/>
    <n v="105780"/>
    <n v="4407.5"/>
    <n v="109769"/>
    <n v="4573.708333333333"/>
    <n v="26086.666666666668"/>
    <n v="26201.541666666664"/>
  </r>
  <r>
    <x v="13"/>
    <s v="University of Houston"/>
    <n v="225511"/>
    <x v="0"/>
    <s v="sem"/>
    <s v="sem"/>
    <m/>
    <m/>
    <n v="297732"/>
    <n v="308296"/>
    <n v="57700"/>
    <n v="57218"/>
    <n v="334757"/>
    <n v="341681"/>
    <n v="690189"/>
    <n v="23006.3"/>
    <n v="707195"/>
    <n v="23573.166666666668"/>
    <n v="0"/>
    <n v="0"/>
    <n v="690189"/>
    <n v="707195"/>
    <m/>
    <m/>
    <m/>
    <m/>
    <m/>
    <m/>
    <m/>
    <m/>
    <n v="0"/>
    <n v="0"/>
    <n v="0"/>
    <n v="0"/>
    <m/>
    <m/>
    <n v="0"/>
    <n v="0"/>
    <m/>
    <m/>
    <n v="67386"/>
    <n v="70294"/>
    <n v="22111"/>
    <n v="21827"/>
    <n v="72150"/>
    <n v="76113"/>
    <n v="161647"/>
    <n v="6735.291666666667"/>
    <n v="168234"/>
    <n v="7009.75"/>
    <n v="29741.591666666667"/>
    <n v="30582.916666666668"/>
  </r>
  <r>
    <x v="13"/>
    <s v="University of North Texas"/>
    <n v="227216"/>
    <x v="0"/>
    <s v="sem"/>
    <s v="sem"/>
    <m/>
    <m/>
    <n v="314042"/>
    <n v="321248"/>
    <n v="79447"/>
    <n v="77602"/>
    <n v="342564"/>
    <n v="337591"/>
    <n v="736053"/>
    <n v="24535.1"/>
    <n v="736441"/>
    <n v="24548.033333333333"/>
    <n v="0"/>
    <n v="0"/>
    <n v="736053"/>
    <n v="736441"/>
    <m/>
    <m/>
    <m/>
    <m/>
    <m/>
    <m/>
    <m/>
    <m/>
    <n v="0"/>
    <n v="0"/>
    <n v="0"/>
    <n v="0"/>
    <m/>
    <m/>
    <n v="0"/>
    <n v="0"/>
    <m/>
    <m/>
    <n v="38702"/>
    <n v="40738"/>
    <n v="22566"/>
    <n v="21785"/>
    <n v="40571"/>
    <n v="43442"/>
    <n v="101839"/>
    <n v="4243.291666666667"/>
    <n v="105965"/>
    <n v="4415.208333333333"/>
    <n v="28778.391666666666"/>
    <n v="28963.241666666665"/>
  </r>
  <r>
    <x v="13"/>
    <s v="University of Texas at Arlington"/>
    <n v="228769"/>
    <x v="0"/>
    <s v="sem"/>
    <s v="sem"/>
    <m/>
    <m/>
    <n v="205112"/>
    <n v="207920"/>
    <n v="45710"/>
    <n v="48771"/>
    <n v="214709"/>
    <n v="235472"/>
    <n v="465531"/>
    <n v="15517.7"/>
    <n v="492163"/>
    <n v="16405.433333333334"/>
    <n v="453"/>
    <n v="1023"/>
    <n v="465531"/>
    <n v="492163"/>
    <m/>
    <m/>
    <m/>
    <m/>
    <m/>
    <m/>
    <m/>
    <m/>
    <n v="0"/>
    <n v="0"/>
    <n v="0"/>
    <n v="0"/>
    <m/>
    <m/>
    <n v="0"/>
    <n v="0"/>
    <m/>
    <m/>
    <n v="38545"/>
    <n v="38793"/>
    <n v="18796"/>
    <n v="18651"/>
    <n v="39839"/>
    <n v="44392"/>
    <n v="97180"/>
    <n v="4049.1666666666665"/>
    <n v="101836"/>
    <n v="4243.166666666667"/>
    <n v="19566.866666666669"/>
    <n v="20648.600000000002"/>
  </r>
  <r>
    <x v="13"/>
    <s v="University of Texas at Austin"/>
    <n v="228778"/>
    <x v="0"/>
    <s v="sem"/>
    <s v="sem"/>
    <m/>
    <m/>
    <n v="465690"/>
    <n v="463306"/>
    <n v="61765"/>
    <n v="59549"/>
    <n v="496145"/>
    <n v="506051"/>
    <n v="1023600"/>
    <n v="34120"/>
    <n v="1028906"/>
    <n v="34296.866666666669"/>
    <n v="0"/>
    <n v="0"/>
    <n v="1023600"/>
    <n v="1028906"/>
    <m/>
    <m/>
    <m/>
    <m/>
    <m/>
    <m/>
    <m/>
    <m/>
    <n v="0"/>
    <n v="0"/>
    <n v="0"/>
    <n v="0"/>
    <m/>
    <m/>
    <n v="0"/>
    <n v="0"/>
    <m/>
    <m/>
    <n v="117247"/>
    <n v="117437"/>
    <n v="24552"/>
    <n v="25096"/>
    <n v="120238"/>
    <n v="122947"/>
    <n v="262037"/>
    <n v="10918.208333333334"/>
    <n v="265480"/>
    <n v="11061.666666666666"/>
    <n v="45038.208333333336"/>
    <n v="45358.533333333333"/>
  </r>
  <r>
    <x v="13"/>
    <s v="University of Texas at Dallas"/>
    <n v="228787"/>
    <x v="0"/>
    <s v="sem"/>
    <s v="sem"/>
    <m/>
    <m/>
    <n v="105552"/>
    <n v="109481"/>
    <n v="21315"/>
    <n v="21595"/>
    <n v="116180"/>
    <n v="121633"/>
    <n v="243047"/>
    <n v="8101.5666666666666"/>
    <n v="252709"/>
    <n v="8423.6333333333332"/>
    <n v="0"/>
    <n v="0"/>
    <n v="243047"/>
    <n v="252709"/>
    <m/>
    <m/>
    <m/>
    <m/>
    <m/>
    <m/>
    <m/>
    <m/>
    <n v="0"/>
    <n v="0"/>
    <n v="0"/>
    <n v="0"/>
    <m/>
    <m/>
    <n v="0"/>
    <n v="0"/>
    <m/>
    <m/>
    <n v="36150"/>
    <n v="39652"/>
    <n v="20520"/>
    <n v="16206"/>
    <n v="38504"/>
    <n v="43521"/>
    <n v="95174"/>
    <n v="3965.5833333333335"/>
    <n v="99379"/>
    <n v="4140.791666666667"/>
    <n v="12067.15"/>
    <n v="12564.424999999999"/>
  </r>
  <r>
    <x v="13"/>
    <s v="Texas Woman's University"/>
    <n v="229179"/>
    <x v="1"/>
    <s v="sem"/>
    <s v="sem"/>
    <m/>
    <m/>
    <n v="79120"/>
    <n v="82032"/>
    <n v="22449"/>
    <n v="23478"/>
    <n v="87711"/>
    <n v="91072"/>
    <n v="189280"/>
    <n v="6309.333333333333"/>
    <n v="196582"/>
    <n v="6552.7333333333336"/>
    <n v="0"/>
    <n v="0"/>
    <n v="189280"/>
    <n v="196582"/>
    <m/>
    <m/>
    <m/>
    <m/>
    <m/>
    <m/>
    <m/>
    <m/>
    <n v="0"/>
    <n v="0"/>
    <n v="0"/>
    <n v="0"/>
    <m/>
    <m/>
    <n v="0"/>
    <n v="0"/>
    <m/>
    <m/>
    <n v="32800"/>
    <n v="31920"/>
    <n v="22240"/>
    <n v="23624"/>
    <n v="32386"/>
    <n v="36359"/>
    <n v="87426"/>
    <n v="3642.75"/>
    <n v="91903"/>
    <n v="3829.2916666666665"/>
    <n v="9952.0833333333321"/>
    <n v="10382.025"/>
  </r>
  <r>
    <x v="13"/>
    <s v="University of Texas at El Paso"/>
    <n v="228796"/>
    <x v="1"/>
    <s v="sem"/>
    <s v="sem"/>
    <m/>
    <m/>
    <n v="174503"/>
    <n v="177967"/>
    <n v="44261"/>
    <n v="44439"/>
    <n v="188224"/>
    <n v="191879"/>
    <n v="406988"/>
    <n v="13566.266666666666"/>
    <n v="414285"/>
    <n v="13809.5"/>
    <n v="977"/>
    <n v="692"/>
    <n v="406988"/>
    <n v="414285"/>
    <m/>
    <m/>
    <m/>
    <m/>
    <m/>
    <m/>
    <m/>
    <m/>
    <n v="0"/>
    <n v="0"/>
    <n v="0"/>
    <n v="0"/>
    <m/>
    <m/>
    <n v="0"/>
    <n v="0"/>
    <m/>
    <m/>
    <n v="19890"/>
    <n v="22710"/>
    <n v="9775"/>
    <n v="10175"/>
    <n v="20718"/>
    <n v="23006"/>
    <n v="50383"/>
    <n v="2099.2916666666665"/>
    <n v="55891"/>
    <n v="2328.7916666666665"/>
    <n v="15665.558333333332"/>
    <n v="16138.291666666666"/>
  </r>
  <r>
    <x v="13"/>
    <s v="University of Texas at San Antonio"/>
    <n v="229027"/>
    <x v="1"/>
    <s v="sem"/>
    <s v="sem"/>
    <m/>
    <m/>
    <n v="262253"/>
    <n v="263314"/>
    <n v="53739"/>
    <n v="52055"/>
    <n v="290973"/>
    <n v="295613"/>
    <n v="606965"/>
    <n v="20232.166666666668"/>
    <n v="610982"/>
    <n v="20366.066666666666"/>
    <n v="4911"/>
    <n v="4740"/>
    <n v="606965"/>
    <n v="610982"/>
    <m/>
    <m/>
    <m/>
    <m/>
    <m/>
    <m/>
    <m/>
    <m/>
    <n v="0"/>
    <n v="0"/>
    <n v="0"/>
    <n v="0"/>
    <m/>
    <m/>
    <n v="0"/>
    <n v="0"/>
    <m/>
    <m/>
    <n v="21678"/>
    <n v="21970"/>
    <n v="8291"/>
    <n v="8763"/>
    <n v="22839"/>
    <n v="24254"/>
    <n v="52808"/>
    <n v="2200.3333333333335"/>
    <n v="54987"/>
    <n v="2291.125"/>
    <n v="22432.5"/>
    <n v="22657.191666666666"/>
  </r>
  <r>
    <x v="13"/>
    <s v="Angelo State University"/>
    <n v="222831"/>
    <x v="2"/>
    <s v="sem"/>
    <s v="sem"/>
    <m/>
    <m/>
    <n v="63873"/>
    <n v="61856"/>
    <n v="11619"/>
    <n v="11562"/>
    <n v="70945"/>
    <n v="72437"/>
    <n v="146437"/>
    <n v="4881.2333333333336"/>
    <n v="145855"/>
    <n v="4861.833333333333"/>
    <n v="393"/>
    <n v="225"/>
    <n v="146437"/>
    <n v="145855"/>
    <m/>
    <m/>
    <m/>
    <m/>
    <m/>
    <m/>
    <m/>
    <m/>
    <n v="0"/>
    <n v="0"/>
    <n v="0"/>
    <n v="0"/>
    <m/>
    <m/>
    <n v="0"/>
    <n v="0"/>
    <m/>
    <m/>
    <n v="3582"/>
    <n v="3161"/>
    <n v="2654"/>
    <n v="3036"/>
    <n v="3327"/>
    <n v="3750"/>
    <n v="9563"/>
    <n v="398.45833333333331"/>
    <n v="9947"/>
    <n v="414.45833333333331"/>
    <n v="5279.6916666666666"/>
    <n v="5276.2916666666661"/>
  </r>
  <r>
    <x v="13"/>
    <s v="Lamar University"/>
    <n v="226091"/>
    <x v="2"/>
    <s v="sem"/>
    <s v="sem"/>
    <m/>
    <m/>
    <n v="90740"/>
    <n v="95657"/>
    <n v="23487"/>
    <n v="25213"/>
    <n v="100092"/>
    <n v="107594"/>
    <n v="214319"/>
    <n v="7143.9666666666662"/>
    <n v="228464"/>
    <n v="7615.4666666666662"/>
    <n v="1609"/>
    <n v="2303"/>
    <n v="214319"/>
    <n v="228464"/>
    <m/>
    <m/>
    <m/>
    <m/>
    <m/>
    <m/>
    <m/>
    <m/>
    <n v="0"/>
    <n v="0"/>
    <n v="0"/>
    <n v="0"/>
    <m/>
    <m/>
    <n v="0"/>
    <n v="0"/>
    <m/>
    <m/>
    <n v="15575"/>
    <n v="30576"/>
    <n v="35533"/>
    <n v="51736"/>
    <n v="27244"/>
    <n v="19840"/>
    <n v="78352"/>
    <n v="3264.6666666666665"/>
    <n v="102152"/>
    <n v="4256.333333333333"/>
    <n v="10408.633333333333"/>
    <n v="11871.8"/>
  </r>
  <r>
    <x v="13"/>
    <s v="Midwestern State University"/>
    <n v="226833"/>
    <x v="2"/>
    <s v="sem"/>
    <s v="sem"/>
    <m/>
    <m/>
    <n v="58291"/>
    <n v="59014"/>
    <n v="14393"/>
    <n v="15610"/>
    <n v="61415"/>
    <n v="64423"/>
    <n v="134099"/>
    <n v="4469.9666666666662"/>
    <n v="139047"/>
    <n v="4634.8999999999996"/>
    <n v="128"/>
    <n v="248"/>
    <n v="134099"/>
    <n v="139047"/>
    <m/>
    <m/>
    <m/>
    <m/>
    <m/>
    <m/>
    <m/>
    <m/>
    <n v="0"/>
    <n v="0"/>
    <n v="0"/>
    <n v="0"/>
    <m/>
    <m/>
    <n v="0"/>
    <n v="0"/>
    <m/>
    <m/>
    <n v="3267"/>
    <n v="3212"/>
    <n v="2317"/>
    <n v="2130"/>
    <n v="3395"/>
    <n v="3325"/>
    <n v="8979"/>
    <n v="374.125"/>
    <n v="8667"/>
    <n v="361.125"/>
    <n v="4844.0916666666662"/>
    <n v="4996.0249999999996"/>
  </r>
  <r>
    <x v="13"/>
    <s v="Prairie View A&amp;M University"/>
    <n v="227526"/>
    <x v="2"/>
    <s v="sem"/>
    <s v="sem"/>
    <m/>
    <m/>
    <n v="76109"/>
    <n v="73908"/>
    <n v="11671"/>
    <n v="11359"/>
    <n v="82896"/>
    <n v="87612"/>
    <n v="170676"/>
    <n v="5689.2"/>
    <n v="172879"/>
    <n v="5762.6333333333332"/>
    <n v="0"/>
    <n v="0"/>
    <n v="170676"/>
    <n v="172879"/>
    <m/>
    <m/>
    <m/>
    <m/>
    <m/>
    <m/>
    <m/>
    <m/>
    <n v="0"/>
    <n v="0"/>
    <n v="0"/>
    <n v="0"/>
    <m/>
    <m/>
    <n v="0"/>
    <n v="0"/>
    <m/>
    <m/>
    <n v="16339"/>
    <n v="13576"/>
    <n v="7970"/>
    <n v="6586"/>
    <n v="13087"/>
    <n v="12923"/>
    <n v="37396"/>
    <n v="1558.1666666666667"/>
    <n v="33085"/>
    <n v="1378.5416666666667"/>
    <n v="7247.3666666666668"/>
    <n v="7141.1750000000002"/>
  </r>
  <r>
    <x v="13"/>
    <s v="Sam Houston State University "/>
    <n v="227881"/>
    <x v="2"/>
    <s v="sem"/>
    <s v="sem"/>
    <m/>
    <m/>
    <n v="171858"/>
    <n v="170553"/>
    <n v="39347"/>
    <n v="40384"/>
    <n v="186925"/>
    <n v="187756"/>
    <n v="398130"/>
    <n v="13271"/>
    <n v="398693"/>
    <n v="13289.766666666666"/>
    <n v="0"/>
    <n v="0"/>
    <n v="398130"/>
    <n v="398693"/>
    <m/>
    <m/>
    <m/>
    <m/>
    <m/>
    <m/>
    <m/>
    <m/>
    <n v="0"/>
    <n v="0"/>
    <n v="0"/>
    <n v="0"/>
    <m/>
    <m/>
    <n v="0"/>
    <n v="0"/>
    <m/>
    <m/>
    <n v="12965"/>
    <n v="12144"/>
    <n v="11410"/>
    <n v="10174"/>
    <n v="13803"/>
    <n v="12930"/>
    <n v="38178"/>
    <n v="1590.75"/>
    <n v="35248"/>
    <n v="1468.6666666666667"/>
    <n v="14861.75"/>
    <n v="14758.433333333332"/>
  </r>
  <r>
    <x v="13"/>
    <s v="Stephen F. Austin State University"/>
    <n v="228431"/>
    <x v="2"/>
    <s v="sem"/>
    <s v="sem"/>
    <m/>
    <m/>
    <n v="118694"/>
    <n v="123875"/>
    <n v="31178"/>
    <n v="31063"/>
    <n v="134092"/>
    <n v="142654"/>
    <n v="283964"/>
    <n v="9465.4666666666672"/>
    <n v="297592"/>
    <n v="9919.7333333333336"/>
    <n v="1124"/>
    <n v="1677"/>
    <n v="283964"/>
    <n v="297592"/>
    <m/>
    <m/>
    <m/>
    <m/>
    <m/>
    <m/>
    <m/>
    <m/>
    <n v="0"/>
    <n v="0"/>
    <n v="0"/>
    <n v="0"/>
    <m/>
    <m/>
    <n v="0"/>
    <n v="0"/>
    <m/>
    <m/>
    <n v="9867"/>
    <n v="10645"/>
    <n v="7055"/>
    <n v="6938"/>
    <n v="10034"/>
    <n v="10274"/>
    <n v="26956"/>
    <n v="1123.1666666666667"/>
    <n v="27857"/>
    <n v="1160.7083333333333"/>
    <n v="10588.633333333333"/>
    <n v="11080.441666666668"/>
  </r>
  <r>
    <x v="13"/>
    <s v="Sul Ross State University "/>
    <n v="228501"/>
    <x v="2"/>
    <s v="sem"/>
    <s v="sem"/>
    <m/>
    <m/>
    <n v="13952"/>
    <n v="14486"/>
    <n v="3585"/>
    <n v="2951"/>
    <n v="16465"/>
    <n v="18464"/>
    <n v="34002"/>
    <n v="1133.4000000000001"/>
    <n v="35901"/>
    <n v="1196.7"/>
    <n v="256"/>
    <n v="684"/>
    <n v="34002"/>
    <n v="35901"/>
    <m/>
    <m/>
    <m/>
    <m/>
    <m/>
    <m/>
    <m/>
    <m/>
    <n v="0"/>
    <n v="0"/>
    <n v="0"/>
    <n v="0"/>
    <m/>
    <m/>
    <n v="0"/>
    <n v="0"/>
    <m/>
    <m/>
    <n v="2874"/>
    <n v="3122"/>
    <n v="2990"/>
    <n v="3344"/>
    <n v="2747"/>
    <n v="2945"/>
    <n v="8611"/>
    <n v="358.79166666666669"/>
    <n v="9411"/>
    <n v="392.125"/>
    <n v="1492.1916666666668"/>
    <n v="1588.825"/>
  </r>
  <r>
    <x v="13"/>
    <s v="Tarleton State University"/>
    <n v="228529"/>
    <x v="2"/>
    <s v="sem"/>
    <s v="sem"/>
    <m/>
    <m/>
    <n v="86705"/>
    <n v="88440"/>
    <n v="23694"/>
    <n v="26587"/>
    <n v="92339"/>
    <n v="87683"/>
    <n v="202738"/>
    <n v="6757.9333333333334"/>
    <n v="202710"/>
    <n v="6757"/>
    <n v="211"/>
    <n v="133"/>
    <n v="202738"/>
    <n v="202710"/>
    <m/>
    <m/>
    <m/>
    <m/>
    <m/>
    <m/>
    <m/>
    <m/>
    <n v="0"/>
    <n v="0"/>
    <n v="0"/>
    <n v="0"/>
    <m/>
    <m/>
    <n v="0"/>
    <n v="0"/>
    <m/>
    <m/>
    <n v="9277"/>
    <n v="10798"/>
    <n v="9321"/>
    <n v="10083"/>
    <n v="9532"/>
    <n v="7214"/>
    <n v="28130"/>
    <n v="1172.0833333333333"/>
    <n v="28095"/>
    <n v="1170.625"/>
    <n v="7930.0166666666664"/>
    <n v="7927.625"/>
  </r>
  <r>
    <x v="13"/>
    <s v="Texas A&amp;M International University"/>
    <n v="226152"/>
    <x v="2"/>
    <s v="sem"/>
    <s v="sem"/>
    <m/>
    <m/>
    <n v="43790"/>
    <n v="48794"/>
    <n v="14421"/>
    <n v="13895"/>
    <n v="51429"/>
    <n v="57286"/>
    <n v="109640"/>
    <n v="3654.6666666666665"/>
    <n v="119975"/>
    <n v="3999.1666666666665"/>
    <n v="4970"/>
    <n v="7312"/>
    <n v="109640"/>
    <n v="119975"/>
    <m/>
    <m/>
    <m/>
    <m/>
    <m/>
    <m/>
    <m/>
    <m/>
    <n v="0"/>
    <n v="0"/>
    <n v="0"/>
    <n v="0"/>
    <m/>
    <m/>
    <n v="0"/>
    <n v="0"/>
    <m/>
    <m/>
    <n v="5669"/>
    <n v="5975"/>
    <n v="4013"/>
    <n v="3496"/>
    <n v="5792"/>
    <n v="5662"/>
    <n v="15474"/>
    <n v="644.75"/>
    <n v="15133"/>
    <n v="630.54166666666663"/>
    <n v="4299.4166666666661"/>
    <n v="4629.708333333333"/>
  </r>
  <r>
    <x v="13"/>
    <s v="Texas A&amp;M University-Commerce"/>
    <n v="224554"/>
    <x v="2"/>
    <s v="sem"/>
    <s v="sem"/>
    <m/>
    <m/>
    <n v="53877"/>
    <n v="58148"/>
    <n v="16398"/>
    <n v="13381"/>
    <n v="59701"/>
    <n v="62582"/>
    <n v="129976"/>
    <n v="4332.5333333333338"/>
    <n v="134111"/>
    <n v="4470.3666666666668"/>
    <n v="176"/>
    <n v="80"/>
    <n v="129976"/>
    <n v="134111"/>
    <m/>
    <m/>
    <m/>
    <m/>
    <m/>
    <m/>
    <m/>
    <m/>
    <n v="0"/>
    <n v="0"/>
    <n v="0"/>
    <n v="0"/>
    <m/>
    <m/>
    <n v="0"/>
    <n v="0"/>
    <m/>
    <m/>
    <n v="20309"/>
    <n v="23768"/>
    <n v="19304"/>
    <n v="14631"/>
    <n v="22425"/>
    <n v="21645"/>
    <n v="62038"/>
    <n v="2584.9166666666665"/>
    <n v="60044"/>
    <n v="2501.8333333333335"/>
    <n v="6917.4500000000007"/>
    <n v="6972.2000000000007"/>
  </r>
  <r>
    <x v="13"/>
    <s v="Texas A&amp;M University-Corpus Christi "/>
    <n v="224147"/>
    <x v="2"/>
    <s v="sem"/>
    <s v="sem"/>
    <m/>
    <m/>
    <n v="74951"/>
    <n v="82657"/>
    <n v="23383"/>
    <n v="23344"/>
    <n v="89351"/>
    <n v="91979"/>
    <n v="187685"/>
    <n v="6256.166666666667"/>
    <n v="197980"/>
    <n v="6599.333333333333"/>
    <n v="900"/>
    <n v="1120"/>
    <n v="187685"/>
    <n v="197980"/>
    <m/>
    <m/>
    <m/>
    <m/>
    <m/>
    <m/>
    <m/>
    <m/>
    <n v="0"/>
    <n v="0"/>
    <n v="0"/>
    <n v="0"/>
    <m/>
    <m/>
    <n v="0"/>
    <n v="0"/>
    <m/>
    <m/>
    <n v="7877"/>
    <n v="10096"/>
    <n v="7347"/>
    <n v="6834"/>
    <n v="10249"/>
    <n v="11021"/>
    <n v="25473"/>
    <n v="1061.375"/>
    <n v="27951"/>
    <n v="1164.625"/>
    <n v="7317.541666666667"/>
    <n v="7763.958333333333"/>
  </r>
  <r>
    <x v="13"/>
    <s v="Texas A&amp;M University-Kingsville"/>
    <n v="228705"/>
    <x v="2"/>
    <s v="sem"/>
    <s v="sem"/>
    <m/>
    <m/>
    <n v="55409"/>
    <n v="60465"/>
    <n v="15614"/>
    <n v="14642"/>
    <n v="64697"/>
    <n v="57124"/>
    <n v="135720"/>
    <n v="4524"/>
    <n v="132231"/>
    <n v="4407.7"/>
    <n v="0"/>
    <n v="0"/>
    <n v="135720"/>
    <n v="132231"/>
    <m/>
    <m/>
    <m/>
    <m/>
    <m/>
    <m/>
    <m/>
    <m/>
    <n v="0"/>
    <n v="0"/>
    <n v="0"/>
    <n v="0"/>
    <m/>
    <m/>
    <n v="0"/>
    <n v="0"/>
    <m/>
    <m/>
    <n v="10664"/>
    <n v="11565"/>
    <n v="7208"/>
    <n v="6619"/>
    <n v="11072"/>
    <n v="8892"/>
    <n v="28944"/>
    <n v="1206"/>
    <n v="27076"/>
    <n v="1128.1666666666667"/>
    <n v="5730"/>
    <n v="5535.8666666666668"/>
  </r>
  <r>
    <x v="13"/>
    <s v="Texas Southern University "/>
    <n v="229063"/>
    <x v="2"/>
    <s v="sem"/>
    <s v="sem"/>
    <m/>
    <m/>
    <n v="82479"/>
    <n v="77361"/>
    <n v="11464"/>
    <n v="11399"/>
    <n v="86820"/>
    <n v="88647"/>
    <n v="180763"/>
    <n v="6025.4333333333334"/>
    <n v="177407"/>
    <n v="5913.5666666666666"/>
    <n v="0"/>
    <n v="0"/>
    <n v="180763"/>
    <n v="177407"/>
    <m/>
    <m/>
    <m/>
    <m/>
    <m/>
    <m/>
    <m/>
    <m/>
    <n v="0"/>
    <n v="0"/>
    <n v="0"/>
    <n v="0"/>
    <m/>
    <m/>
    <n v="0"/>
    <n v="0"/>
    <m/>
    <m/>
    <n v="19946"/>
    <n v="19450"/>
    <n v="4264"/>
    <n v="4633"/>
    <n v="19883"/>
    <n v="22115"/>
    <n v="44093"/>
    <n v="1837.2083333333333"/>
    <n v="46198"/>
    <n v="1924.9166666666667"/>
    <n v="7862.6416666666664"/>
    <n v="7838.4833333333336"/>
  </r>
  <r>
    <x v="13"/>
    <s v="Texas State University-San Marcos"/>
    <n v="228459"/>
    <x v="2"/>
    <s v="sem"/>
    <s v="sem"/>
    <m/>
    <m/>
    <n v="281890"/>
    <n v="287466"/>
    <n v="67091"/>
    <n v="63905"/>
    <n v="312589"/>
    <n v="326469"/>
    <n v="661570"/>
    <n v="22052.333333333332"/>
    <n v="677840"/>
    <n v="22594.666666666668"/>
    <n v="3"/>
    <n v="0"/>
    <n v="661570"/>
    <n v="677840"/>
    <m/>
    <m/>
    <m/>
    <m/>
    <m/>
    <m/>
    <m/>
    <m/>
    <n v="0"/>
    <n v="0"/>
    <n v="0"/>
    <n v="0"/>
    <m/>
    <m/>
    <n v="0"/>
    <n v="0"/>
    <m/>
    <m/>
    <n v="24723"/>
    <n v="27382"/>
    <n v="13210"/>
    <n v="13914"/>
    <n v="27884"/>
    <n v="31461"/>
    <n v="65817"/>
    <n v="2742.375"/>
    <n v="72757"/>
    <n v="3031.5416666666665"/>
    <n v="24794.708333333332"/>
    <n v="25626.208333333336"/>
  </r>
  <r>
    <x v="13"/>
    <s v="University of Houston-Clear Lake "/>
    <n v="225414"/>
    <x v="2"/>
    <s v="sem"/>
    <s v="sem"/>
    <m/>
    <m/>
    <n v="39132"/>
    <n v="39497"/>
    <n v="13018"/>
    <n v="12480"/>
    <n v="40872"/>
    <n v="43093"/>
    <n v="93022"/>
    <n v="3100.7333333333331"/>
    <n v="95070"/>
    <n v="3169"/>
    <n v="0"/>
    <n v="0"/>
    <n v="93022"/>
    <n v="95070"/>
    <m/>
    <m/>
    <m/>
    <m/>
    <m/>
    <m/>
    <m/>
    <m/>
    <n v="0"/>
    <n v="0"/>
    <n v="0"/>
    <n v="0"/>
    <m/>
    <m/>
    <n v="0"/>
    <n v="0"/>
    <m/>
    <m/>
    <n v="21607"/>
    <n v="21018"/>
    <n v="10961"/>
    <n v="8634"/>
    <n v="22301"/>
    <n v="21279"/>
    <n v="54869"/>
    <n v="2286.2083333333335"/>
    <n v="50931"/>
    <n v="2122.125"/>
    <n v="5386.9416666666666"/>
    <n v="5291.125"/>
  </r>
  <r>
    <x v="13"/>
    <s v="University of Texas at Tyler"/>
    <n v="228802"/>
    <x v="2"/>
    <s v="sem"/>
    <s v="sem"/>
    <m/>
    <m/>
    <n v="58962"/>
    <n v="56899"/>
    <n v="8235"/>
    <n v="8163"/>
    <n v="62715"/>
    <n v="61279"/>
    <n v="129912"/>
    <n v="4330.3999999999996"/>
    <n v="126341"/>
    <n v="4211.3666666666668"/>
    <n v="0"/>
    <n v="0"/>
    <n v="129912"/>
    <n v="126341"/>
    <m/>
    <m/>
    <m/>
    <m/>
    <m/>
    <m/>
    <m/>
    <m/>
    <n v="0"/>
    <n v="0"/>
    <n v="0"/>
    <n v="0"/>
    <m/>
    <m/>
    <n v="0"/>
    <n v="0"/>
    <m/>
    <m/>
    <n v="5378"/>
    <n v="5066"/>
    <n v="2592"/>
    <n v="2180"/>
    <n v="5325"/>
    <n v="6061"/>
    <n v="13295"/>
    <n v="553.95833333333337"/>
    <n v="13307"/>
    <n v="554.45833333333337"/>
    <n v="4884.3583333333327"/>
    <n v="4765.8249999999998"/>
  </r>
  <r>
    <x v="13"/>
    <s v="University of Texas-Pan American"/>
    <n v="227368"/>
    <x v="2"/>
    <s v="sem"/>
    <s v="sem"/>
    <m/>
    <m/>
    <n v="165673"/>
    <n v="167688"/>
    <n v="64108"/>
    <n v="62155"/>
    <n v="178269"/>
    <n v="188585"/>
    <n v="408050"/>
    <n v="13601.666666666666"/>
    <n v="418428"/>
    <n v="13947.6"/>
    <n v="1243"/>
    <n v="3335"/>
    <n v="408050"/>
    <n v="418428"/>
    <m/>
    <m/>
    <m/>
    <m/>
    <m/>
    <m/>
    <m/>
    <m/>
    <n v="0"/>
    <n v="0"/>
    <n v="0"/>
    <n v="0"/>
    <m/>
    <m/>
    <n v="0"/>
    <n v="0"/>
    <m/>
    <m/>
    <n v="13500"/>
    <n v="14709"/>
    <n v="8186"/>
    <n v="8337"/>
    <n v="14753"/>
    <n v="16391"/>
    <n v="36439"/>
    <n v="1518.2916666666667"/>
    <n v="39437"/>
    <n v="1643.2083333333333"/>
    <n v="15119.958333333332"/>
    <n v="15590.808333333334"/>
  </r>
  <r>
    <x v="13"/>
    <s v="West Texas A&amp;M University"/>
    <n v="229814"/>
    <x v="2"/>
    <s v="sem"/>
    <s v="sem"/>
    <m/>
    <m/>
    <n v="66314"/>
    <n v="69025"/>
    <n v="14575"/>
    <n v="14083"/>
    <n v="76044"/>
    <n v="78972"/>
    <n v="156933"/>
    <n v="5231.1000000000004"/>
    <n v="162080"/>
    <n v="5402.666666666667"/>
    <n v="0"/>
    <n v="0"/>
    <n v="156933"/>
    <n v="162080"/>
    <m/>
    <m/>
    <m/>
    <m/>
    <m/>
    <m/>
    <m/>
    <m/>
    <n v="0"/>
    <n v="0"/>
    <n v="0"/>
    <n v="0"/>
    <m/>
    <m/>
    <n v="0"/>
    <n v="0"/>
    <m/>
    <m/>
    <n v="7929"/>
    <n v="6956"/>
    <n v="5339"/>
    <n v="5725"/>
    <n v="7086"/>
    <n v="7714"/>
    <n v="20354"/>
    <n v="848.08333333333337"/>
    <n v="20395"/>
    <n v="849.79166666666663"/>
    <n v="6079.1833333333334"/>
    <n v="6252.4583333333339"/>
  </r>
  <r>
    <x v="13"/>
    <s v="Texas A&amp;M -Texarkana"/>
    <n v="224545"/>
    <x v="3"/>
    <s v="sem"/>
    <s v="sem"/>
    <m/>
    <m/>
    <n v="9954"/>
    <n v="10711"/>
    <n v="3270"/>
    <n v="3156"/>
    <n v="9655"/>
    <n v="10419"/>
    <n v="22879"/>
    <n v="762.63333333333333"/>
    <n v="24286"/>
    <n v="809.5333333333333"/>
    <n v="30"/>
    <n v="24"/>
    <n v="22879"/>
    <n v="24286"/>
    <m/>
    <m/>
    <m/>
    <m/>
    <m/>
    <m/>
    <m/>
    <m/>
    <n v="0"/>
    <n v="0"/>
    <n v="0"/>
    <n v="0"/>
    <m/>
    <m/>
    <n v="0"/>
    <n v="0"/>
    <m/>
    <m/>
    <n v="3344"/>
    <n v="3653"/>
    <n v="3348"/>
    <n v="2851"/>
    <n v="2567"/>
    <n v="2568"/>
    <n v="9259"/>
    <n v="385.79166666666669"/>
    <n v="9072"/>
    <n v="378"/>
    <n v="1148.425"/>
    <n v="1187.5333333333333"/>
  </r>
  <r>
    <x v="13"/>
    <s v="University of Houston-Victoria"/>
    <n v="225502"/>
    <x v="3"/>
    <s v="sem"/>
    <s v="sem"/>
    <m/>
    <m/>
    <n v="13297"/>
    <n v="15978"/>
    <n v="6672"/>
    <n v="7743"/>
    <n v="14927"/>
    <n v="17037"/>
    <n v="34896"/>
    <n v="1163.2"/>
    <n v="40758"/>
    <n v="1358.6"/>
    <n v="0"/>
    <n v="0"/>
    <n v="34896"/>
    <n v="40758"/>
    <m/>
    <m/>
    <m/>
    <m/>
    <m/>
    <m/>
    <m/>
    <m/>
    <n v="0"/>
    <n v="0"/>
    <n v="0"/>
    <n v="0"/>
    <m/>
    <m/>
    <n v="0"/>
    <n v="0"/>
    <m/>
    <m/>
    <n v="8080"/>
    <n v="8893"/>
    <n v="5641"/>
    <n v="5493"/>
    <n v="8820"/>
    <n v="10683"/>
    <n v="22541"/>
    <n v="939.20833333333337"/>
    <n v="25069"/>
    <n v="1044.5416666666667"/>
    <n v="2102.4083333333333"/>
    <n v="2403.1416666666664"/>
  </r>
  <r>
    <x v="13"/>
    <s v="University of Texas at Brownsville"/>
    <n v="227377"/>
    <x v="3"/>
    <s v="sem"/>
    <s v="sem"/>
    <m/>
    <m/>
    <n v="32439"/>
    <n v="34170"/>
    <n v="11934"/>
    <n v="10783"/>
    <n v="42786"/>
    <n v="44844"/>
    <n v="87159"/>
    <n v="2905.3"/>
    <n v="89797"/>
    <n v="2993.2333333333331"/>
    <n v="8030"/>
    <n v="7904"/>
    <n v="87159"/>
    <n v="89797"/>
    <m/>
    <m/>
    <m/>
    <m/>
    <m/>
    <m/>
    <m/>
    <m/>
    <n v="0"/>
    <n v="0"/>
    <n v="0"/>
    <n v="0"/>
    <m/>
    <m/>
    <n v="0"/>
    <n v="0"/>
    <m/>
    <m/>
    <n v="3922"/>
    <n v="4081"/>
    <n v="2589"/>
    <n v="2779"/>
    <n v="4252"/>
    <n v="4851"/>
    <n v="10763"/>
    <n v="448.45833333333331"/>
    <n v="11711"/>
    <n v="487.95833333333331"/>
    <n v="3353.7583333333337"/>
    <n v="3481.1916666666666"/>
  </r>
  <r>
    <x v="13"/>
    <s v="University of Texas of the Permian Basin"/>
    <n v="229018"/>
    <x v="3"/>
    <s v="sem"/>
    <s v="sem"/>
    <m/>
    <m/>
    <n v="30336"/>
    <n v="28864"/>
    <n v="7182"/>
    <n v="6498"/>
    <n v="30782"/>
    <n v="32394"/>
    <n v="68300"/>
    <n v="2276.6666666666665"/>
    <n v="67756"/>
    <n v="2258.5333333333333"/>
    <n v="74"/>
    <n v="343"/>
    <n v="68300"/>
    <n v="67756"/>
    <m/>
    <m/>
    <m/>
    <m/>
    <m/>
    <m/>
    <m/>
    <m/>
    <n v="0"/>
    <n v="0"/>
    <n v="0"/>
    <n v="0"/>
    <m/>
    <m/>
    <n v="0"/>
    <n v="0"/>
    <m/>
    <m/>
    <n v="3234"/>
    <n v="3802"/>
    <n v="2376"/>
    <n v="2736"/>
    <n v="4137"/>
    <n v="3654"/>
    <n v="9747"/>
    <n v="406.125"/>
    <n v="10192"/>
    <n v="424.66666666666669"/>
    <n v="2682.7916666666665"/>
    <n v="2683.2"/>
  </r>
  <r>
    <x v="13"/>
    <s v="Sul Ross State University-Rio Grande College"/>
    <s v="228501B"/>
    <x v="4"/>
    <s v="sem"/>
    <s v="sem"/>
    <m/>
    <m/>
    <n v="6054"/>
    <n v="6255"/>
    <n v="3546"/>
    <n v="3486"/>
    <n v="6116"/>
    <n v="6245"/>
    <n v="15716"/>
    <n v="523.86666666666667"/>
    <n v="15986"/>
    <n v="532.86666666666667"/>
    <n v="0"/>
    <n v="0"/>
    <n v="15716"/>
    <n v="15986"/>
    <m/>
    <m/>
    <m/>
    <m/>
    <m/>
    <m/>
    <m/>
    <m/>
    <n v="0"/>
    <n v="0"/>
    <n v="0"/>
    <n v="0"/>
    <m/>
    <m/>
    <n v="0"/>
    <n v="0"/>
    <m/>
    <m/>
    <n v="1035"/>
    <n v="1140"/>
    <n v="870"/>
    <n v="849"/>
    <n v="1002"/>
    <n v="1317"/>
    <n v="2907"/>
    <n v="121.125"/>
    <n v="3306"/>
    <n v="137.75"/>
    <n v="644.99166666666667"/>
    <n v="670.61666666666667"/>
  </r>
  <r>
    <x v="13"/>
    <s v="University of Houston-Downtown"/>
    <n v="225432"/>
    <x v="4"/>
    <s v="sem"/>
    <s v="sem"/>
    <m/>
    <m/>
    <n v="108428"/>
    <n v="108923"/>
    <n v="31783"/>
    <n v="32120"/>
    <n v="114984"/>
    <n v="119454"/>
    <n v="255195"/>
    <n v="8506.5"/>
    <n v="260497"/>
    <n v="8683.2333333333336"/>
    <n v="147"/>
    <n v="324"/>
    <n v="255195"/>
    <n v="260497"/>
    <m/>
    <m/>
    <m/>
    <m/>
    <m/>
    <m/>
    <m/>
    <m/>
    <n v="0"/>
    <n v="0"/>
    <n v="0"/>
    <n v="0"/>
    <m/>
    <m/>
    <n v="0"/>
    <n v="0"/>
    <m/>
    <m/>
    <n v="798"/>
    <n v="813"/>
    <n v="402"/>
    <n v="471"/>
    <n v="843"/>
    <n v="900"/>
    <n v="2043"/>
    <n v="85.125"/>
    <n v="2184"/>
    <n v="91"/>
    <n v="8591.625"/>
    <n v="8774.2333333333336"/>
  </r>
  <r>
    <x v="13"/>
    <s v="Texas A&amp;M University at Galveston"/>
    <n v="228714"/>
    <x v="5"/>
    <s v="sem"/>
    <s v="sem"/>
    <m/>
    <m/>
    <n v="19567"/>
    <n v="21528"/>
    <n v="3580"/>
    <n v="3561"/>
    <n v="21334"/>
    <n v="23988"/>
    <n v="44481"/>
    <n v="1482.7"/>
    <n v="49077"/>
    <n v="1635.9"/>
    <n v="0"/>
    <n v="0"/>
    <n v="44481"/>
    <n v="49077"/>
    <m/>
    <m/>
    <m/>
    <m/>
    <m/>
    <m/>
    <m/>
    <m/>
    <n v="0"/>
    <n v="0"/>
    <n v="0"/>
    <n v="0"/>
    <m/>
    <m/>
    <n v="0"/>
    <n v="0"/>
    <m/>
    <m/>
    <n v="294"/>
    <n v="311"/>
    <n v="201"/>
    <n v="192"/>
    <n v="329"/>
    <n v="371"/>
    <n v="824"/>
    <n v="34.333333333333336"/>
    <n v="874"/>
    <n v="36.416666666666664"/>
    <n v="1517.0333333333333"/>
    <n v="1672.3166666666668"/>
  </r>
  <r>
    <x v="13"/>
    <s v="Brazosport College "/>
    <n v="223506"/>
    <x v="11"/>
    <s v="sem"/>
    <s v="sem"/>
    <n v="26750"/>
    <n v="27137"/>
    <n v="7989"/>
    <n v="8465"/>
    <n v="2843"/>
    <n v="2847"/>
    <n v="30430"/>
    <n v="31413"/>
    <n v="68012"/>
    <n v="2267.0666666666666"/>
    <n v="69862"/>
    <n v="2328.7333333333331"/>
    <n v="8672"/>
    <n v="10080"/>
    <n v="68012"/>
    <n v="69862"/>
    <n v="10939"/>
    <n v="8407"/>
    <n v="10808"/>
    <n v="14217"/>
    <n v="4362"/>
    <n v="7243"/>
    <n v="13431"/>
    <n v="17254"/>
    <n v="39540"/>
    <n v="43.93333333333333"/>
    <n v="47121"/>
    <n v="52.356666666666669"/>
    <m/>
    <m/>
    <n v="0"/>
    <n v="0"/>
    <m/>
    <m/>
    <m/>
    <m/>
    <m/>
    <m/>
    <m/>
    <m/>
    <n v="0"/>
    <n v="0"/>
    <n v="0"/>
    <n v="0"/>
    <n v="2311"/>
    <n v="2381.0899999999997"/>
  </r>
  <r>
    <x v="13"/>
    <s v="Midland College "/>
    <n v="226806"/>
    <x v="11"/>
    <s v="sem"/>
    <s v="sem"/>
    <n v="46531"/>
    <n v="46013"/>
    <n v="9539"/>
    <n v="10422"/>
    <n v="9178"/>
    <n v="9815"/>
    <n v="46675"/>
    <n v="49841"/>
    <n v="111923"/>
    <n v="3730.7666666666669"/>
    <n v="116091"/>
    <n v="3869.7"/>
    <n v="9865"/>
    <n v="9253"/>
    <n v="111923"/>
    <n v="116091"/>
    <n v="50419"/>
    <n v="40613"/>
    <n v="48818"/>
    <n v="36364"/>
    <n v="30392"/>
    <n v="28146"/>
    <n v="51646"/>
    <n v="40390"/>
    <n v="181275"/>
    <n v="201.41666666666666"/>
    <n v="145513"/>
    <n v="161.68111111111111"/>
    <m/>
    <m/>
    <n v="0"/>
    <n v="0"/>
    <m/>
    <m/>
    <m/>
    <m/>
    <m/>
    <m/>
    <m/>
    <m/>
    <n v="0"/>
    <n v="0"/>
    <n v="0"/>
    <n v="0"/>
    <n v="3932.1833333333334"/>
    <n v="4031.3811111111108"/>
  </r>
  <r>
    <x v="13"/>
    <s v="South Texas College"/>
    <n v="409315"/>
    <x v="11"/>
    <s v="sem"/>
    <s v="sem"/>
    <n v="156853"/>
    <n v="177124"/>
    <n v="29231"/>
    <n v="32353"/>
    <n v="27719"/>
    <n v="31122"/>
    <n v="175464"/>
    <n v="219438"/>
    <n v="389267"/>
    <n v="12975.566666666668"/>
    <n v="460037"/>
    <n v="15334.566666666668"/>
    <n v="70739"/>
    <n v="85589"/>
    <n v="389267"/>
    <n v="460037"/>
    <n v="45454"/>
    <n v="45896"/>
    <n v="39703"/>
    <n v="48272"/>
    <n v="43180"/>
    <n v="78603"/>
    <n v="40162"/>
    <n v="58609"/>
    <n v="168499"/>
    <n v="187.2211111111111"/>
    <n v="231380"/>
    <n v="257.0888888888889"/>
    <m/>
    <m/>
    <n v="0"/>
    <n v="0"/>
    <m/>
    <m/>
    <m/>
    <m/>
    <m/>
    <m/>
    <m/>
    <m/>
    <n v="0"/>
    <n v="0"/>
    <n v="0"/>
    <n v="0"/>
    <n v="13162.787777777779"/>
    <n v="15591.655555555557"/>
  </r>
  <r>
    <x v="13"/>
    <s v="Amarillo College "/>
    <n v="222576"/>
    <x v="6"/>
    <s v="sem"/>
    <s v="sem"/>
    <n v="76133"/>
    <n v="80338"/>
    <n v="21146"/>
    <n v="22810"/>
    <n v="0"/>
    <n v="0"/>
    <n v="79391"/>
    <n v="87101"/>
    <n v="176670"/>
    <n v="5889"/>
    <n v="190249"/>
    <n v="6341.6333333333332"/>
    <n v="20047"/>
    <n v="19393"/>
    <n v="176670"/>
    <n v="190249"/>
    <n v="150338"/>
    <n v="126507"/>
    <n v="157428"/>
    <n v="139784"/>
    <n v="140291"/>
    <n v="125264"/>
    <n v="161765"/>
    <n v="148752"/>
    <n v="609822"/>
    <n v="677.58"/>
    <n v="540307"/>
    <n v="600.3411111111111"/>
    <m/>
    <m/>
    <n v="0"/>
    <n v="0"/>
    <m/>
    <m/>
    <m/>
    <m/>
    <m/>
    <m/>
    <m/>
    <m/>
    <n v="0"/>
    <n v="0"/>
    <n v="0"/>
    <n v="0"/>
    <n v="6566.58"/>
    <n v="6941.9744444444441"/>
  </r>
  <r>
    <x v="13"/>
    <s v="Austin Community College "/>
    <n v="222992"/>
    <x v="6"/>
    <s v="sem"/>
    <s v="sem"/>
    <n v="249738"/>
    <n v="279070"/>
    <n v="145075"/>
    <n v="166306"/>
    <n v="0"/>
    <n v="0"/>
    <n v="252322"/>
    <n v="283563"/>
    <n v="647135"/>
    <n v="21571.166666666668"/>
    <n v="728939"/>
    <n v="24297.966666666667"/>
    <n v="35944"/>
    <n v="43728"/>
    <n v="647135"/>
    <n v="728939"/>
    <n v="114011"/>
    <n v="103790"/>
    <n v="115154"/>
    <n v="54611"/>
    <n v="98024"/>
    <n v="98650"/>
    <n v="133589"/>
    <n v="123403"/>
    <n v="460778"/>
    <n v="511.97555555555556"/>
    <n v="380454"/>
    <n v="422.72666666666669"/>
    <m/>
    <m/>
    <n v="0"/>
    <n v="0"/>
    <m/>
    <m/>
    <m/>
    <m/>
    <m/>
    <m/>
    <m/>
    <m/>
    <n v="0"/>
    <n v="0"/>
    <n v="0"/>
    <n v="0"/>
    <n v="22083.142222222225"/>
    <n v="24720.693333333333"/>
  </r>
  <r>
    <x v="13"/>
    <s v="Blinn College "/>
    <n v="223427"/>
    <x v="6"/>
    <s v="sem"/>
    <s v="sem"/>
    <n v="137199"/>
    <n v="150973"/>
    <n v="29822"/>
    <n v="29842"/>
    <n v="16233"/>
    <n v="18463"/>
    <n v="156668"/>
    <n v="173374"/>
    <n v="339922"/>
    <n v="11330.733333333334"/>
    <n v="372652"/>
    <n v="12421.733333333334"/>
    <n v="9899"/>
    <n v="12367"/>
    <n v="339922"/>
    <n v="372652"/>
    <n v="30465"/>
    <n v="31293"/>
    <n v="33981"/>
    <n v="31714"/>
    <n v="38939"/>
    <n v="31329"/>
    <n v="36797"/>
    <n v="53101"/>
    <n v="140182"/>
    <n v="155.75777777777779"/>
    <n v="147437"/>
    <n v="163.81888888888889"/>
    <m/>
    <m/>
    <n v="0"/>
    <n v="0"/>
    <m/>
    <m/>
    <m/>
    <m/>
    <m/>
    <m/>
    <m/>
    <m/>
    <n v="0"/>
    <n v="0"/>
    <n v="0"/>
    <n v="0"/>
    <n v="11486.491111111111"/>
    <n v="12585.552222222223"/>
  </r>
  <r>
    <x v="13"/>
    <s v="Brookhaven College  (DCCCD)"/>
    <n v="223524"/>
    <x v="6"/>
    <s v="sem"/>
    <s v="sem"/>
    <n v="74837"/>
    <n v="80895"/>
    <n v="30166"/>
    <n v="28752"/>
    <n v="14512"/>
    <n v="15827"/>
    <n v="68735"/>
    <n v="72399"/>
    <n v="188250"/>
    <n v="6275"/>
    <n v="197873"/>
    <n v="6595.7666666666664"/>
    <n v="6560"/>
    <n v="6815"/>
    <n v="188250"/>
    <n v="197873"/>
    <n v="72472"/>
    <n v="72586"/>
    <n v="79835"/>
    <n v="82710"/>
    <n v="86034"/>
    <n v="72201"/>
    <n v="90742"/>
    <n v="110787"/>
    <n v="329083"/>
    <n v="365.64777777777778"/>
    <n v="338284"/>
    <n v="375.87111111111113"/>
    <m/>
    <m/>
    <n v="0"/>
    <n v="0"/>
    <m/>
    <m/>
    <m/>
    <m/>
    <m/>
    <m/>
    <m/>
    <m/>
    <n v="0"/>
    <n v="0"/>
    <n v="0"/>
    <n v="0"/>
    <n v="6640.6477777777782"/>
    <n v="6971.637777777778"/>
  </r>
  <r>
    <x v="13"/>
    <s v="Central Texas College "/>
    <n v="223816"/>
    <x v="6"/>
    <s v="sem"/>
    <s v="sem"/>
    <n v="94390"/>
    <n v="105908"/>
    <n v="85813"/>
    <n v="70415"/>
    <n v="9922"/>
    <n v="9694"/>
    <n v="74021"/>
    <n v="88586"/>
    <n v="264146"/>
    <n v="8804.8666666666668"/>
    <n v="274603"/>
    <n v="9153.4333333333325"/>
    <n v="17189"/>
    <n v="18782"/>
    <n v="264146"/>
    <n v="274603"/>
    <n v="60124"/>
    <n v="63433"/>
    <n v="110100"/>
    <n v="75831"/>
    <n v="91433"/>
    <n v="97341"/>
    <n v="82082"/>
    <n v="112305"/>
    <n v="343739"/>
    <n v="381.93222222222221"/>
    <n v="348910"/>
    <n v="387.67777777777781"/>
    <m/>
    <m/>
    <n v="0"/>
    <n v="0"/>
    <m/>
    <m/>
    <m/>
    <m/>
    <m/>
    <m/>
    <m/>
    <m/>
    <n v="0"/>
    <n v="0"/>
    <n v="0"/>
    <n v="0"/>
    <n v="9186.7988888888885"/>
    <n v="9541.1111111111095"/>
  </r>
  <r>
    <x v="13"/>
    <s v="Collin County Community College District"/>
    <n v="247834"/>
    <x v="6"/>
    <s v="sem"/>
    <s v="sem"/>
    <n v="170777"/>
    <n v="187913"/>
    <n v="38106"/>
    <n v="40473"/>
    <n v="30905"/>
    <n v="35120"/>
    <n v="178651"/>
    <n v="208739"/>
    <n v="418439"/>
    <n v="13947.966666666667"/>
    <n v="472245"/>
    <n v="15741.5"/>
    <n v="11872"/>
    <n v="14895"/>
    <n v="418439"/>
    <n v="472245"/>
    <n v="133412"/>
    <n v="163036"/>
    <n v="117427"/>
    <n v="107629"/>
    <n v="103662"/>
    <n v="138033"/>
    <n v="176556"/>
    <n v="187854"/>
    <n v="531057"/>
    <n v="590.06333333333339"/>
    <n v="596552"/>
    <n v="662.83555555555552"/>
    <m/>
    <m/>
    <n v="0"/>
    <n v="0"/>
    <m/>
    <m/>
    <m/>
    <m/>
    <m/>
    <m/>
    <m/>
    <m/>
    <n v="0"/>
    <n v="0"/>
    <n v="0"/>
    <n v="0"/>
    <n v="14538.03"/>
    <n v="16404.335555555557"/>
  </r>
  <r>
    <x v="13"/>
    <s v="Del Mar College "/>
    <n v="224350"/>
    <x v="6"/>
    <s v="sem"/>
    <s v="sem"/>
    <n v="83024"/>
    <n v="86050"/>
    <n v="22815"/>
    <n v="24128"/>
    <n v="8940"/>
    <n v="10168"/>
    <n v="91580"/>
    <n v="100698"/>
    <n v="206359"/>
    <n v="6878.6333333333332"/>
    <n v="221044"/>
    <n v="7368.1333333333332"/>
    <n v="9874"/>
    <n v="13492"/>
    <n v="206359"/>
    <n v="221044"/>
    <n v="64250"/>
    <n v="39991"/>
    <n v="78386"/>
    <n v="30547"/>
    <n v="80078"/>
    <n v="43745"/>
    <n v="54017"/>
    <n v="46128"/>
    <n v="276731"/>
    <n v="307.47888888888889"/>
    <n v="160411"/>
    <n v="178.23444444444445"/>
    <m/>
    <m/>
    <n v="0"/>
    <n v="0"/>
    <m/>
    <m/>
    <m/>
    <m/>
    <m/>
    <m/>
    <m/>
    <m/>
    <n v="0"/>
    <n v="0"/>
    <n v="0"/>
    <n v="0"/>
    <n v="7186.112222222222"/>
    <n v="7546.3677777777775"/>
  </r>
  <r>
    <x v="13"/>
    <s v="Eastfield College  (DCCCD)"/>
    <n v="224572"/>
    <x v="6"/>
    <s v="sem"/>
    <s v="sem"/>
    <n v="75020"/>
    <n v="81552"/>
    <n v="28782"/>
    <n v="27579"/>
    <n v="13052"/>
    <n v="13567"/>
    <n v="68450"/>
    <n v="74230"/>
    <n v="185304"/>
    <n v="6176.8"/>
    <n v="196928"/>
    <n v="6564.2666666666664"/>
    <n v="10390"/>
    <n v="13197"/>
    <n v="185304"/>
    <n v="196928"/>
    <n v="54026"/>
    <n v="53677"/>
    <n v="55414"/>
    <n v="50259"/>
    <n v="64418"/>
    <n v="75311"/>
    <n v="63536"/>
    <n v="63293"/>
    <n v="237394"/>
    <n v="263.77111111111111"/>
    <n v="242540"/>
    <n v="269.48888888888888"/>
    <m/>
    <m/>
    <n v="0"/>
    <n v="0"/>
    <m/>
    <m/>
    <m/>
    <m/>
    <m/>
    <m/>
    <m/>
    <m/>
    <n v="0"/>
    <n v="0"/>
    <n v="0"/>
    <n v="0"/>
    <n v="6440.5711111111113"/>
    <n v="6833.7555555555555"/>
  </r>
  <r>
    <x v="13"/>
    <s v="El Paso County Community College District"/>
    <n v="224642"/>
    <x v="6"/>
    <s v="sem"/>
    <s v="sem"/>
    <n v="200821"/>
    <n v="212405"/>
    <n v="52347"/>
    <n v="54346"/>
    <n v="0"/>
    <n v="0"/>
    <n v="225500"/>
    <n v="246934"/>
    <n v="478668"/>
    <n v="15955.6"/>
    <n v="513685"/>
    <n v="17122.833333333332"/>
    <n v="28385"/>
    <n v="32970"/>
    <n v="478668"/>
    <n v="513685"/>
    <n v="125484"/>
    <n v="132415"/>
    <n v="122704"/>
    <n v="121481"/>
    <n v="125093"/>
    <n v="139220"/>
    <n v="117043"/>
    <n v="168732"/>
    <n v="490324"/>
    <n v="544.80444444444447"/>
    <n v="561848"/>
    <n v="624.27555555555557"/>
    <m/>
    <m/>
    <n v="0"/>
    <n v="0"/>
    <m/>
    <m/>
    <m/>
    <m/>
    <m/>
    <m/>
    <m/>
    <m/>
    <n v="0"/>
    <n v="0"/>
    <n v="0"/>
    <n v="0"/>
    <n v="16500.404444444444"/>
    <n v="17747.108888888888"/>
  </r>
  <r>
    <x v="13"/>
    <s v="Houston Community College"/>
    <n v="225423"/>
    <x v="6"/>
    <s v="sem"/>
    <s v="sem"/>
    <n v="340857"/>
    <n v="393534"/>
    <n v="227404"/>
    <n v="259547"/>
    <n v="0"/>
    <n v="0"/>
    <n v="297936"/>
    <n v="328163"/>
    <n v="866197"/>
    <n v="28873.233333333334"/>
    <n v="981244"/>
    <n v="32708.133333333335"/>
    <n v="37464"/>
    <n v="50588"/>
    <n v="866197"/>
    <n v="981244"/>
    <n v="438229"/>
    <n v="471562"/>
    <n v="411029"/>
    <n v="414318"/>
    <n v="396354"/>
    <n v="429137"/>
    <n v="495744"/>
    <n v="594100"/>
    <n v="1741356"/>
    <n v="1934.84"/>
    <n v="1909117"/>
    <n v="2121.241111111111"/>
    <m/>
    <m/>
    <n v="0"/>
    <n v="0"/>
    <m/>
    <m/>
    <m/>
    <m/>
    <m/>
    <m/>
    <m/>
    <m/>
    <n v="0"/>
    <n v="0"/>
    <n v="0"/>
    <n v="0"/>
    <n v="30808.073333333334"/>
    <n v="34829.374444444446"/>
  </r>
  <r>
    <x v="13"/>
    <s v="Laredo Community College "/>
    <n v="226134"/>
    <x v="6"/>
    <s v="sem"/>
    <s v="sem"/>
    <n v="64613"/>
    <n v="69918"/>
    <n v="14073"/>
    <n v="15871"/>
    <n v="8504"/>
    <n v="9127"/>
    <n v="70254"/>
    <n v="78664"/>
    <n v="157444"/>
    <n v="5248.1333333333332"/>
    <n v="173580"/>
    <n v="5786"/>
    <n v="1250"/>
    <n v="3733"/>
    <n v="157444"/>
    <n v="173580"/>
    <n v="21583"/>
    <n v="35505"/>
    <n v="41862"/>
    <n v="23378"/>
    <n v="58900"/>
    <n v="23912"/>
    <n v="40473"/>
    <n v="21992"/>
    <n v="162818"/>
    <n v="180.9088888888889"/>
    <n v="104787"/>
    <n v="116.43"/>
    <m/>
    <m/>
    <n v="0"/>
    <n v="0"/>
    <m/>
    <m/>
    <m/>
    <m/>
    <m/>
    <m/>
    <m/>
    <m/>
    <n v="0"/>
    <n v="0"/>
    <n v="0"/>
    <n v="0"/>
    <n v="5429.0422222222223"/>
    <n v="5902.43"/>
  </r>
  <r>
    <x v="13"/>
    <s v="Lone Star College System District"/>
    <n v="227182"/>
    <x v="6"/>
    <s v="sem"/>
    <s v="sem"/>
    <n v="341083"/>
    <n v="352232"/>
    <n v="160831"/>
    <n v="177471"/>
    <n v="0"/>
    <n v="0"/>
    <n v="340294"/>
    <n v="386785"/>
    <n v="842208"/>
    <n v="28073.599999999999"/>
    <n v="916488"/>
    <n v="30549.599999999999"/>
    <n v="43900"/>
    <n v="49505"/>
    <n v="842208"/>
    <n v="916488"/>
    <n v="159298"/>
    <n v="168162"/>
    <n v="84210"/>
    <n v="107632"/>
    <n v="108155"/>
    <n v="137850"/>
    <n v="199056"/>
    <n v="183181"/>
    <n v="550719"/>
    <n v="611.91"/>
    <n v="596825"/>
    <n v="663.13888888888891"/>
    <m/>
    <m/>
    <n v="0"/>
    <n v="0"/>
    <m/>
    <m/>
    <m/>
    <m/>
    <m/>
    <m/>
    <m/>
    <m/>
    <n v="0"/>
    <n v="0"/>
    <n v="0"/>
    <n v="0"/>
    <n v="28685.51"/>
    <n v="31212.738888888889"/>
  </r>
  <r>
    <x v="13"/>
    <s v="McLennan Community College "/>
    <n v="226578"/>
    <x v="6"/>
    <s v="sem"/>
    <s v="sem"/>
    <n v="68821"/>
    <n v="77640"/>
    <n v="20312"/>
    <n v="17137"/>
    <n v="9693"/>
    <n v="10271"/>
    <n v="71854"/>
    <n v="85726"/>
    <n v="170680"/>
    <n v="5689.333333333333"/>
    <n v="190774"/>
    <n v="6359.1333333333332"/>
    <n v="7898"/>
    <n v="8630"/>
    <n v="170680"/>
    <n v="190774"/>
    <n v="44356"/>
    <n v="60840"/>
    <n v="51007"/>
    <n v="53197"/>
    <n v="67135"/>
    <n v="80487"/>
    <n v="41879"/>
    <n v="46770"/>
    <n v="204377"/>
    <n v="227.08555555555554"/>
    <n v="241294"/>
    <n v="268.10444444444443"/>
    <m/>
    <m/>
    <n v="0"/>
    <n v="0"/>
    <m/>
    <m/>
    <m/>
    <m/>
    <m/>
    <m/>
    <m/>
    <m/>
    <n v="0"/>
    <n v="0"/>
    <n v="0"/>
    <n v="0"/>
    <n v="5916.4188888888884"/>
    <n v="6627.2377777777774"/>
  </r>
  <r>
    <x v="13"/>
    <s v="Navarro College "/>
    <n v="227146"/>
    <x v="6"/>
    <s v="sem"/>
    <s v="sem"/>
    <n v="72813"/>
    <n v="82143"/>
    <n v="16553"/>
    <n v="19708"/>
    <n v="5462"/>
    <n v="7603"/>
    <n v="77047"/>
    <n v="89604"/>
    <n v="171875"/>
    <n v="5729.166666666667"/>
    <n v="199058"/>
    <n v="6635.2666666666664"/>
    <n v="19652"/>
    <n v="22311"/>
    <n v="171875"/>
    <n v="199058"/>
    <n v="84213"/>
    <n v="29459"/>
    <n v="95150"/>
    <n v="23034"/>
    <n v="33176"/>
    <n v="22573"/>
    <n v="23831"/>
    <n v="35327"/>
    <n v="236370"/>
    <n v="262.63333333333333"/>
    <n v="110393"/>
    <n v="122.6588888888889"/>
    <m/>
    <m/>
    <n v="0"/>
    <n v="0"/>
    <m/>
    <m/>
    <m/>
    <m/>
    <m/>
    <m/>
    <m/>
    <m/>
    <n v="0"/>
    <n v="0"/>
    <n v="0"/>
    <n v="0"/>
    <n v="5991.8"/>
    <n v="6757.9255555555555"/>
  </r>
  <r>
    <x v="13"/>
    <s v="North Lake College  (DCCCD)"/>
    <n v="227191"/>
    <x v="6"/>
    <s v="sem"/>
    <s v="sem"/>
    <n v="71092"/>
    <n v="81550"/>
    <n v="20970"/>
    <n v="18406"/>
    <n v="13138"/>
    <n v="14936"/>
    <n v="74096"/>
    <n v="79850"/>
    <n v="179296"/>
    <n v="5976.5333333333338"/>
    <n v="194742"/>
    <n v="6491.4"/>
    <n v="11155"/>
    <n v="9935"/>
    <n v="179296"/>
    <n v="194742"/>
    <n v="122671"/>
    <n v="133552"/>
    <n v="71466"/>
    <n v="64278"/>
    <n v="65638"/>
    <n v="77159"/>
    <n v="167828"/>
    <n v="132752"/>
    <n v="427603"/>
    <n v="475.11444444444442"/>
    <n v="407741"/>
    <n v="453.04555555555555"/>
    <m/>
    <m/>
    <n v="0"/>
    <n v="0"/>
    <m/>
    <m/>
    <m/>
    <m/>
    <m/>
    <m/>
    <m/>
    <m/>
    <n v="0"/>
    <n v="0"/>
    <n v="0"/>
    <n v="0"/>
    <n v="6451.6477777777782"/>
    <n v="6944.4455555555551"/>
  </r>
  <r>
    <x v="13"/>
    <s v="Northwest Vista College (ACCD)"/>
    <n v="420398"/>
    <x v="6"/>
    <s v="sem"/>
    <s v="sem"/>
    <n v="86824"/>
    <n v="102572"/>
    <n v="25039"/>
    <n v="31359"/>
    <n v="3266"/>
    <n v="4207"/>
    <n v="99467"/>
    <n v="119922"/>
    <n v="214596"/>
    <n v="7153.2"/>
    <n v="258060"/>
    <n v="8602"/>
    <n v="15928"/>
    <n v="20060"/>
    <n v="214596"/>
    <n v="258060"/>
    <n v="18855"/>
    <n v="17432"/>
    <n v="4189"/>
    <n v="2059"/>
    <n v="8255"/>
    <n v="14453"/>
    <n v="35907"/>
    <n v="25708"/>
    <n v="67206"/>
    <n v="74.673333333333332"/>
    <n v="59652"/>
    <n v="66.28"/>
    <m/>
    <m/>
    <n v="0"/>
    <n v="0"/>
    <m/>
    <m/>
    <m/>
    <m/>
    <m/>
    <m/>
    <m/>
    <m/>
    <n v="0"/>
    <n v="0"/>
    <n v="0"/>
    <n v="0"/>
    <n v="7227.873333333333"/>
    <n v="8668.2800000000007"/>
  </r>
  <r>
    <x v="13"/>
    <s v="Palo Alto College  (ACCD)"/>
    <n v="246354"/>
    <x v="6"/>
    <s v="sem"/>
    <s v="sem"/>
    <n v="63996"/>
    <n v="65603"/>
    <n v="16135"/>
    <n v="17551"/>
    <n v="5384"/>
    <n v="6382"/>
    <n v="66314"/>
    <n v="70365"/>
    <n v="151829"/>
    <n v="5060.9666666666662"/>
    <n v="159901"/>
    <n v="5330.0333333333338"/>
    <n v="13038"/>
    <n v="15069"/>
    <n v="151829"/>
    <n v="159901"/>
    <n v="61827"/>
    <n v="54654"/>
    <n v="43408"/>
    <n v="29563"/>
    <n v="53657"/>
    <n v="39686"/>
    <n v="85165"/>
    <n v="63608"/>
    <n v="244057"/>
    <n v="271.17444444444442"/>
    <n v="187511"/>
    <n v="208.34555555555556"/>
    <m/>
    <m/>
    <n v="0"/>
    <n v="0"/>
    <m/>
    <m/>
    <m/>
    <m/>
    <m/>
    <m/>
    <m/>
    <m/>
    <n v="0"/>
    <n v="0"/>
    <n v="0"/>
    <n v="0"/>
    <n v="5332.1411111111111"/>
    <n v="5538.3788888888894"/>
  </r>
  <r>
    <x v="13"/>
    <s v="Richland College  (DCCCD)"/>
    <n v="227766"/>
    <x v="6"/>
    <s v="sem"/>
    <s v="sem"/>
    <n v="108744"/>
    <n v="126875"/>
    <n v="44226"/>
    <n v="26444"/>
    <n v="20609"/>
    <n v="47657"/>
    <n v="105202"/>
    <n v="118130"/>
    <n v="278781"/>
    <n v="9292.7000000000007"/>
    <n v="319106"/>
    <n v="10636.866666666667"/>
    <n v="20055"/>
    <n v="27587"/>
    <n v="278781"/>
    <n v="319106"/>
    <n v="151151"/>
    <n v="165438"/>
    <n v="183877"/>
    <n v="185586"/>
    <n v="172059"/>
    <n v="193055"/>
    <n v="238614"/>
    <n v="235352"/>
    <n v="745701"/>
    <n v="828.55666666666662"/>
    <n v="779431"/>
    <n v="866.03444444444449"/>
    <m/>
    <m/>
    <n v="0"/>
    <n v="0"/>
    <m/>
    <m/>
    <m/>
    <m/>
    <m/>
    <m/>
    <m/>
    <m/>
    <n v="0"/>
    <n v="0"/>
    <n v="0"/>
    <n v="0"/>
    <n v="10121.256666666668"/>
    <n v="11502.90111111111"/>
  </r>
  <r>
    <x v="13"/>
    <s v="San Antonio College (ACCD)"/>
    <n v="227924"/>
    <x v="6"/>
    <s v="sem"/>
    <s v="sem"/>
    <n v="183907"/>
    <n v="192854"/>
    <n v="45960"/>
    <n v="52442"/>
    <n v="18125"/>
    <n v="19124"/>
    <n v="185459"/>
    <n v="204885"/>
    <n v="433451"/>
    <n v="14448.366666666667"/>
    <n v="469305"/>
    <n v="15643.5"/>
    <n v="18352"/>
    <n v="19315"/>
    <n v="433451"/>
    <n v="469305"/>
    <n v="98954"/>
    <n v="119224"/>
    <n v="78124"/>
    <n v="96105"/>
    <n v="104905"/>
    <n v="119486"/>
    <n v="137060"/>
    <n v="113484"/>
    <n v="419043"/>
    <n v="465.60333333333335"/>
    <n v="448299"/>
    <n v="498.11"/>
    <m/>
    <m/>
    <n v="0"/>
    <n v="0"/>
    <m/>
    <m/>
    <m/>
    <m/>
    <m/>
    <m/>
    <m/>
    <m/>
    <n v="0"/>
    <n v="0"/>
    <n v="0"/>
    <n v="0"/>
    <n v="14913.97"/>
    <n v="16141.61"/>
  </r>
  <r>
    <x v="13"/>
    <s v="San Jacinto College"/>
    <n v="227979"/>
    <x v="6"/>
    <s v="sem"/>
    <s v="sem"/>
    <n v="198622"/>
    <n v="207844"/>
    <n v="55959"/>
    <n v="60140"/>
    <n v="0"/>
    <n v="0"/>
    <n v="234474"/>
    <n v="255193"/>
    <n v="489055"/>
    <n v="16301.833333333334"/>
    <n v="523177"/>
    <n v="17439.233333333334"/>
    <n v="22068"/>
    <n v="24957"/>
    <n v="489055"/>
    <n v="523177"/>
    <n v="131006"/>
    <n v="118717"/>
    <n v="87803"/>
    <n v="57597"/>
    <n v="131353"/>
    <n v="121719"/>
    <n v="134299"/>
    <n v="98805"/>
    <n v="484461"/>
    <n v="538.29"/>
    <n v="396838"/>
    <n v="440.93111111111114"/>
    <m/>
    <m/>
    <n v="0"/>
    <n v="0"/>
    <m/>
    <m/>
    <m/>
    <m/>
    <m/>
    <m/>
    <m/>
    <m/>
    <n v="0"/>
    <n v="0"/>
    <n v="0"/>
    <n v="0"/>
    <n v="16840.123333333333"/>
    <n v="17880.164444444446"/>
  </r>
  <r>
    <x v="13"/>
    <s v="South Plains College "/>
    <n v="228158"/>
    <x v="6"/>
    <s v="sem"/>
    <s v="sem"/>
    <n v="84718"/>
    <n v="87535"/>
    <n v="12826"/>
    <n v="13464"/>
    <n v="5753"/>
    <n v="6439"/>
    <n v="88697"/>
    <n v="95842"/>
    <n v="191994"/>
    <n v="6399.8"/>
    <n v="203280"/>
    <n v="6776"/>
    <n v="18520"/>
    <n v="22047"/>
    <n v="191994"/>
    <n v="203280"/>
    <n v="42001"/>
    <n v="50257"/>
    <n v="54767"/>
    <n v="70218"/>
    <n v="50661"/>
    <n v="56006"/>
    <n v="73789"/>
    <n v="90304"/>
    <n v="221218"/>
    <n v="245.79777777777778"/>
    <n v="266785"/>
    <n v="296.42777777777781"/>
    <m/>
    <m/>
    <n v="0"/>
    <n v="0"/>
    <m/>
    <m/>
    <m/>
    <m/>
    <m/>
    <m/>
    <m/>
    <m/>
    <n v="0"/>
    <n v="0"/>
    <n v="0"/>
    <n v="0"/>
    <n v="6645.597777777778"/>
    <n v="7072.4277777777779"/>
  </r>
  <r>
    <x v="13"/>
    <s v="St. Philip's College  (ACCD)"/>
    <n v="227854"/>
    <x v="6"/>
    <s v="sem"/>
    <s v="sem"/>
    <n v="85644"/>
    <n v="89654"/>
    <n v="26641"/>
    <n v="27557"/>
    <n v="5878"/>
    <n v="7235"/>
    <n v="82104"/>
    <n v="89515"/>
    <n v="200267"/>
    <n v="6675.5666666666666"/>
    <n v="213961"/>
    <n v="7132.0333333333338"/>
    <n v="11866"/>
    <n v="15564"/>
    <n v="200267"/>
    <n v="213961"/>
    <n v="26372"/>
    <n v="28450"/>
    <n v="21378"/>
    <n v="17667"/>
    <n v="26591"/>
    <n v="23701"/>
    <n v="38966"/>
    <n v="31370"/>
    <n v="113307"/>
    <n v="125.89666666666666"/>
    <n v="101188"/>
    <n v="112.43111111111111"/>
    <m/>
    <m/>
    <n v="0"/>
    <n v="0"/>
    <m/>
    <m/>
    <m/>
    <m/>
    <m/>
    <m/>
    <m/>
    <m/>
    <n v="0"/>
    <n v="0"/>
    <n v="0"/>
    <n v="0"/>
    <n v="6801.4633333333331"/>
    <n v="7244.4644444444448"/>
  </r>
  <r>
    <x v="13"/>
    <s v="Tarrant County College"/>
    <n v="228547"/>
    <x v="6"/>
    <s v="sem"/>
    <s v="sem"/>
    <n v="293520"/>
    <n v="327976"/>
    <n v="135531"/>
    <n v="147887"/>
    <n v="0"/>
    <n v="0"/>
    <n v="314581"/>
    <n v="351959"/>
    <n v="743632"/>
    <n v="24787.733333333334"/>
    <n v="827822"/>
    <n v="27594.066666666666"/>
    <n v="20175"/>
    <n v="30647"/>
    <n v="743632"/>
    <n v="827822"/>
    <n v="154477"/>
    <n v="195452"/>
    <n v="142443"/>
    <n v="173085"/>
    <n v="147109"/>
    <n v="152645"/>
    <n v="216751"/>
    <n v="220114"/>
    <n v="660780"/>
    <n v="734.2"/>
    <n v="741296"/>
    <n v="823.66222222222223"/>
    <m/>
    <m/>
    <n v="0"/>
    <n v="0"/>
    <m/>
    <m/>
    <m/>
    <m/>
    <m/>
    <m/>
    <m/>
    <m/>
    <n v="0"/>
    <n v="0"/>
    <n v="0"/>
    <n v="0"/>
    <n v="25521.933333333334"/>
    <n v="28417.728888888887"/>
  </r>
  <r>
    <x v="13"/>
    <s v="Texas Southmost College "/>
    <n v="229072"/>
    <x v="6"/>
    <s v="sem"/>
    <s v="sem"/>
    <n v="74555"/>
    <n v="72501"/>
    <n v="13205"/>
    <n v="11906"/>
    <n v="7766"/>
    <n v="7413"/>
    <n v="86511"/>
    <n v="89455"/>
    <n v="182037"/>
    <n v="6067.9"/>
    <n v="181275"/>
    <n v="6042.5"/>
    <n v="30751"/>
    <n v="25757"/>
    <n v="182037"/>
    <n v="181275"/>
    <n v="13640"/>
    <n v="16709"/>
    <n v="12688"/>
    <n v="13451"/>
    <n v="15941"/>
    <n v="19410"/>
    <n v="12966"/>
    <n v="15747"/>
    <n v="55235"/>
    <n v="61.37222222222222"/>
    <n v="65317"/>
    <n v="72.574444444444438"/>
    <m/>
    <m/>
    <n v="0"/>
    <n v="0"/>
    <m/>
    <m/>
    <m/>
    <m/>
    <m/>
    <m/>
    <m/>
    <m/>
    <n v="0"/>
    <n v="0"/>
    <n v="0"/>
    <n v="0"/>
    <n v="6129.2722222222219"/>
    <n v="6115.0744444444445"/>
  </r>
  <r>
    <x v="13"/>
    <s v="Tyler Junior College "/>
    <n v="229355"/>
    <x v="6"/>
    <s v="sem"/>
    <s v="sem"/>
    <n v="89074"/>
    <n v="96104"/>
    <n v="19863"/>
    <n v="16413"/>
    <n v="7352"/>
    <n v="7811"/>
    <n v="103234"/>
    <n v="115499"/>
    <n v="219523"/>
    <n v="7317.4333333333334"/>
    <n v="235827"/>
    <n v="7860.9"/>
    <n v="17128"/>
    <n v="13027"/>
    <n v="219523"/>
    <n v="235827"/>
    <n v="47665"/>
    <n v="72750"/>
    <n v="79586"/>
    <n v="61247"/>
    <n v="105615"/>
    <n v="80535"/>
    <n v="79459"/>
    <n v="87571"/>
    <n v="312325"/>
    <n v="347.02777777777777"/>
    <n v="302103"/>
    <n v="335.67"/>
    <m/>
    <m/>
    <n v="0"/>
    <n v="0"/>
    <m/>
    <m/>
    <m/>
    <m/>
    <m/>
    <m/>
    <m/>
    <m/>
    <n v="0"/>
    <n v="0"/>
    <n v="0"/>
    <n v="0"/>
    <n v="7664.4611111111108"/>
    <n v="8196.57"/>
  </r>
  <r>
    <x v="13"/>
    <s v="Alvin Community College "/>
    <n v="222567"/>
    <x v="7"/>
    <s v="sem"/>
    <s v="sem"/>
    <n v="37081"/>
    <n v="39453"/>
    <n v="17954"/>
    <n v="18765"/>
    <n v="0"/>
    <n v="0"/>
    <n v="37447"/>
    <n v="42620"/>
    <n v="92482"/>
    <n v="3082.7333333333331"/>
    <n v="100838"/>
    <n v="3361.2666666666669"/>
    <n v="6632"/>
    <n v="10967"/>
    <n v="92482"/>
    <n v="100838"/>
    <n v="28354"/>
    <n v="33102"/>
    <n v="19341"/>
    <n v="31945"/>
    <n v="26632"/>
    <n v="27595"/>
    <n v="34141"/>
    <n v="40048"/>
    <n v="108468"/>
    <n v="120.52"/>
    <n v="132690"/>
    <n v="147.43333333333334"/>
    <m/>
    <m/>
    <n v="0"/>
    <n v="0"/>
    <m/>
    <m/>
    <m/>
    <m/>
    <m/>
    <m/>
    <m/>
    <m/>
    <n v="0"/>
    <n v="0"/>
    <n v="0"/>
    <n v="0"/>
    <n v="3203.2533333333331"/>
    <n v="3508.7000000000003"/>
  </r>
  <r>
    <x v="13"/>
    <s v="Angelina College "/>
    <n v="222822"/>
    <x v="7"/>
    <s v="sem"/>
    <s v="sem"/>
    <n v="40647"/>
    <n v="39938"/>
    <n v="7915"/>
    <n v="7919"/>
    <n v="3270"/>
    <n v="3638"/>
    <n v="43705"/>
    <n v="49372"/>
    <n v="95537"/>
    <n v="3184.5666666666666"/>
    <n v="100867"/>
    <n v="3362.2333333333331"/>
    <n v="5619"/>
    <n v="8562"/>
    <n v="95537"/>
    <n v="100867"/>
    <n v="22935"/>
    <n v="91007"/>
    <n v="67034"/>
    <n v="30365"/>
    <n v="67331"/>
    <n v="83399"/>
    <n v="24362"/>
    <n v="38541"/>
    <n v="181662"/>
    <n v="201.84666666666666"/>
    <n v="243312"/>
    <n v="270.34666666666669"/>
    <m/>
    <m/>
    <n v="0"/>
    <n v="0"/>
    <m/>
    <m/>
    <m/>
    <m/>
    <m/>
    <m/>
    <m/>
    <m/>
    <n v="0"/>
    <n v="0"/>
    <n v="0"/>
    <n v="0"/>
    <n v="3386.4133333333334"/>
    <n v="3632.58"/>
  </r>
  <r>
    <x v="13"/>
    <s v="Cedar Valley College  (DCCCD)"/>
    <n v="223773"/>
    <x v="7"/>
    <s v="sem"/>
    <s v="sem"/>
    <n v="33239"/>
    <n v="41093"/>
    <n v="14756"/>
    <n v="12293"/>
    <n v="6886"/>
    <n v="7065"/>
    <n v="34765"/>
    <n v="39546"/>
    <n v="89646"/>
    <n v="2988.2"/>
    <n v="99997"/>
    <n v="3333.2333333333331"/>
    <n v="5842"/>
    <n v="8491"/>
    <n v="89646"/>
    <n v="99997"/>
    <n v="58260"/>
    <n v="57311"/>
    <n v="92342"/>
    <n v="79495"/>
    <n v="78542"/>
    <n v="102649"/>
    <n v="74504"/>
    <n v="99937"/>
    <n v="303648"/>
    <n v="337.38666666666666"/>
    <n v="339392"/>
    <n v="377.10222222222222"/>
    <m/>
    <m/>
    <n v="0"/>
    <n v="0"/>
    <m/>
    <m/>
    <m/>
    <m/>
    <m/>
    <m/>
    <m/>
    <m/>
    <n v="0"/>
    <n v="0"/>
    <n v="0"/>
    <n v="0"/>
    <n v="3325.5866666666666"/>
    <n v="3710.3355555555554"/>
  </r>
  <r>
    <x v="13"/>
    <s v="Cisco Junior College"/>
    <n v="223898"/>
    <x v="7"/>
    <s v="sem"/>
    <s v="sem"/>
    <n v="30996"/>
    <n v="33681"/>
    <n v="6082"/>
    <n v="6126"/>
    <n v="1757"/>
    <n v="1527"/>
    <n v="36078"/>
    <n v="41244"/>
    <n v="74913"/>
    <n v="2497.1"/>
    <n v="82578"/>
    <n v="2752.6"/>
    <n v="1734"/>
    <n v="3574"/>
    <n v="74913"/>
    <n v="82578"/>
    <n v="2693"/>
    <n v="1668"/>
    <n v="4640"/>
    <n v="3183"/>
    <n v="1613"/>
    <n v="0"/>
    <n v="3106"/>
    <n v="1400"/>
    <n v="12052"/>
    <n v="13.391111111111112"/>
    <n v="6251"/>
    <n v="6.9455555555555559"/>
    <m/>
    <m/>
    <n v="0"/>
    <n v="0"/>
    <m/>
    <m/>
    <m/>
    <m/>
    <m/>
    <m/>
    <m/>
    <m/>
    <n v="0"/>
    <n v="0"/>
    <n v="0"/>
    <n v="0"/>
    <n v="2510.491111111111"/>
    <n v="2759.5455555555554"/>
  </r>
  <r>
    <x v="13"/>
    <s v="Coastal Bend College"/>
    <n v="223320"/>
    <x v="7"/>
    <s v="sem"/>
    <s v="sem"/>
    <n v="25049"/>
    <n v="30015"/>
    <n v="9395"/>
    <n v="9020"/>
    <n v="2096"/>
    <n v="2213"/>
    <n v="30982"/>
    <n v="35793"/>
    <n v="67522"/>
    <n v="2250.7333333333331"/>
    <n v="77041"/>
    <n v="2568.0333333333333"/>
    <n v="4670"/>
    <n v="9099"/>
    <n v="67522"/>
    <n v="77041"/>
    <n v="28175"/>
    <n v="24020"/>
    <n v="51155"/>
    <n v="44655"/>
    <n v="46501"/>
    <n v="41908"/>
    <n v="33348"/>
    <n v="34659"/>
    <n v="159179"/>
    <n v="176.86555555555555"/>
    <n v="145242"/>
    <n v="161.38"/>
    <m/>
    <m/>
    <n v="0"/>
    <n v="0"/>
    <m/>
    <m/>
    <m/>
    <m/>
    <m/>
    <m/>
    <m/>
    <m/>
    <n v="0"/>
    <n v="0"/>
    <n v="0"/>
    <n v="0"/>
    <n v="2427.5988888888887"/>
    <n v="2729.4133333333334"/>
  </r>
  <r>
    <x v="13"/>
    <s v="College of the Mainland"/>
    <n v="226408"/>
    <x v="7"/>
    <s v="sem"/>
    <s v="sem"/>
    <n v="29657"/>
    <n v="30348"/>
    <n v="7414"/>
    <n v="7670"/>
    <n v="6148"/>
    <n v="7006"/>
    <n v="29284"/>
    <n v="32546"/>
    <n v="72503"/>
    <n v="2416.7666666666669"/>
    <n v="77570"/>
    <n v="2585.6666666666665"/>
    <n v="5935"/>
    <n v="6033"/>
    <n v="72503"/>
    <n v="77570"/>
    <n v="48642"/>
    <n v="66838"/>
    <n v="24600"/>
    <n v="43601"/>
    <n v="48721"/>
    <n v="73449"/>
    <n v="32718"/>
    <n v="54457"/>
    <n v="154681"/>
    <n v="171.86777777777777"/>
    <n v="238345"/>
    <n v="264.82777777777778"/>
    <m/>
    <m/>
    <n v="0"/>
    <n v="0"/>
    <m/>
    <m/>
    <m/>
    <m/>
    <m/>
    <m/>
    <m/>
    <m/>
    <n v="0"/>
    <n v="0"/>
    <n v="0"/>
    <n v="0"/>
    <n v="2588.6344444444449"/>
    <n v="2850.4944444444445"/>
  </r>
  <r>
    <x v="13"/>
    <s v="El Centro College  (DCCCD)"/>
    <n v="224615"/>
    <x v="7"/>
    <s v="sem"/>
    <s v="sem"/>
    <n v="51189"/>
    <n v="61172"/>
    <n v="13902"/>
    <n v="15034"/>
    <n v="7614"/>
    <n v="8948"/>
    <n v="53839"/>
    <n v="62447"/>
    <n v="126544"/>
    <n v="4218.1333333333332"/>
    <n v="147601"/>
    <n v="4920.0333333333338"/>
    <n v="6383"/>
    <n v="9540"/>
    <n v="126544"/>
    <n v="147601"/>
    <n v="199937"/>
    <n v="323027"/>
    <n v="260001"/>
    <n v="420258"/>
    <n v="319320"/>
    <n v="328087"/>
    <n v="380788"/>
    <n v="455676"/>
    <n v="1160046"/>
    <n v="1288.94"/>
    <n v="1527048"/>
    <n v="1696.72"/>
    <m/>
    <m/>
    <n v="0"/>
    <n v="0"/>
    <m/>
    <m/>
    <m/>
    <m/>
    <m/>
    <m/>
    <m/>
    <m/>
    <n v="0"/>
    <n v="0"/>
    <n v="0"/>
    <n v="0"/>
    <n v="5507.0733333333337"/>
    <n v="6616.753333333334"/>
  </r>
  <r>
    <x v="13"/>
    <s v="Grayson County College "/>
    <n v="225070"/>
    <x v="7"/>
    <s v="sem"/>
    <s v="sem"/>
    <n v="36025"/>
    <n v="41106"/>
    <n v="7273"/>
    <n v="8430"/>
    <n v="2260"/>
    <n v="2800"/>
    <n v="40157"/>
    <n v="46891"/>
    <n v="85715"/>
    <n v="2857.1666666666665"/>
    <n v="99227"/>
    <n v="3307.5666666666666"/>
    <n v="3815"/>
    <n v="4277"/>
    <n v="85715"/>
    <n v="99227"/>
    <n v="26451"/>
    <n v="17241"/>
    <n v="35125"/>
    <n v="17126"/>
    <n v="33997"/>
    <n v="29724"/>
    <n v="28571"/>
    <n v="16991"/>
    <n v="124144"/>
    <n v="137.93777777777777"/>
    <n v="81082"/>
    <n v="90.091111111111104"/>
    <m/>
    <m/>
    <n v="0"/>
    <n v="0"/>
    <m/>
    <m/>
    <m/>
    <m/>
    <m/>
    <m/>
    <m/>
    <m/>
    <n v="0"/>
    <n v="0"/>
    <n v="0"/>
    <n v="0"/>
    <n v="2995.1044444444442"/>
    <n v="3397.6577777777775"/>
  </r>
  <r>
    <x v="13"/>
    <s v="Hill College"/>
    <n v="225371"/>
    <x v="7"/>
    <s v="sem"/>
    <s v="sem"/>
    <n v="29931"/>
    <n v="34415"/>
    <n v="7466"/>
    <n v="9468"/>
    <n v="1918"/>
    <n v="2359"/>
    <n v="33830"/>
    <n v="39435"/>
    <n v="73145"/>
    <n v="2438.1666666666665"/>
    <n v="85677"/>
    <n v="2855.9"/>
    <n v="8189"/>
    <n v="9434"/>
    <n v="73145"/>
    <n v="85677"/>
    <n v="19828"/>
    <n v="43423"/>
    <n v="17580"/>
    <n v="20740"/>
    <n v="26486"/>
    <n v="26917"/>
    <n v="17196"/>
    <n v="19917"/>
    <n v="81090"/>
    <n v="90.1"/>
    <n v="110997"/>
    <n v="123.33"/>
    <m/>
    <m/>
    <n v="0"/>
    <n v="0"/>
    <m/>
    <m/>
    <m/>
    <m/>
    <m/>
    <m/>
    <m/>
    <m/>
    <n v="0"/>
    <n v="0"/>
    <n v="0"/>
    <n v="0"/>
    <n v="2528.2666666666664"/>
    <n v="2979.23"/>
  </r>
  <r>
    <x v="13"/>
    <s v="Howard College (HCJCD)"/>
    <n v="225520"/>
    <x v="7"/>
    <s v="sem"/>
    <s v="sem"/>
    <n v="26299"/>
    <n v="29219"/>
    <n v="4842"/>
    <n v="5143"/>
    <n v="2238"/>
    <n v="2216"/>
    <n v="28526"/>
    <n v="34176"/>
    <n v="61905"/>
    <n v="2063.5"/>
    <n v="70754"/>
    <n v="2358.4666666666667"/>
    <n v="11052"/>
    <n v="13550"/>
    <n v="61905"/>
    <n v="70754"/>
    <n v="215791"/>
    <n v="235084"/>
    <n v="255640"/>
    <n v="203040"/>
    <n v="244486"/>
    <n v="201376"/>
    <n v="249635"/>
    <n v="245653"/>
    <n v="965552"/>
    <n v="1072.8355555555556"/>
    <n v="885153"/>
    <n v="983.50333333333333"/>
    <m/>
    <m/>
    <n v="0"/>
    <n v="0"/>
    <m/>
    <m/>
    <m/>
    <m/>
    <m/>
    <m/>
    <m/>
    <m/>
    <n v="0"/>
    <n v="0"/>
    <n v="0"/>
    <n v="0"/>
    <n v="3136.3355555555554"/>
    <n v="3341.9700000000003"/>
  </r>
  <r>
    <x v="13"/>
    <s v="Kilgore College "/>
    <n v="226019"/>
    <x v="7"/>
    <s v="sem"/>
    <s v="sem"/>
    <n v="49164"/>
    <n v="52940"/>
    <n v="9351"/>
    <n v="9724"/>
    <n v="6273"/>
    <n v="6368"/>
    <n v="53146"/>
    <n v="59622"/>
    <n v="117934"/>
    <n v="3931.1333333333332"/>
    <n v="128654"/>
    <n v="4288.4666666666662"/>
    <n v="5919"/>
    <n v="9373"/>
    <n v="117934"/>
    <n v="128654"/>
    <n v="174106"/>
    <n v="211568"/>
    <n v="293166"/>
    <n v="160814"/>
    <n v="195562"/>
    <n v="201209"/>
    <n v="150561"/>
    <n v="173746"/>
    <n v="813395"/>
    <n v="903.77222222222224"/>
    <n v="747337"/>
    <n v="830.37444444444441"/>
    <m/>
    <m/>
    <n v="0"/>
    <n v="0"/>
    <m/>
    <m/>
    <m/>
    <m/>
    <m/>
    <m/>
    <m/>
    <m/>
    <n v="0"/>
    <n v="0"/>
    <n v="0"/>
    <n v="0"/>
    <n v="4834.9055555555551"/>
    <n v="5118.8411111111109"/>
  </r>
  <r>
    <x v="13"/>
    <s v="Lamar Institute of Technology"/>
    <n v="441760"/>
    <x v="7"/>
    <s v="sem"/>
    <s v="sem"/>
    <n v="25456"/>
    <n v="28586"/>
    <n v="2135"/>
    <n v="2427"/>
    <n v="1569"/>
    <n v="1858"/>
    <n v="31316"/>
    <n v="34393"/>
    <n v="60476"/>
    <n v="2015.8666666666666"/>
    <n v="67264"/>
    <n v="2242.1333333333332"/>
    <n v="666"/>
    <n v="1021"/>
    <n v="60476"/>
    <n v="67264"/>
    <n v="44138"/>
    <n v="49812"/>
    <n v="76260"/>
    <n v="59959"/>
    <n v="61507"/>
    <n v="73438"/>
    <n v="46522"/>
    <n v="34163"/>
    <n v="228427"/>
    <n v="253.80777777777777"/>
    <n v="217372"/>
    <n v="241.52444444444444"/>
    <m/>
    <m/>
    <n v="0"/>
    <n v="0"/>
    <m/>
    <m/>
    <m/>
    <m/>
    <m/>
    <m/>
    <m/>
    <m/>
    <n v="0"/>
    <n v="0"/>
    <n v="0"/>
    <n v="0"/>
    <n v="2269.6744444444444"/>
    <n v="2483.6577777777775"/>
  </r>
  <r>
    <x v="13"/>
    <s v="Lee College "/>
    <n v="226204"/>
    <x v="7"/>
    <s v="sem"/>
    <s v="sem"/>
    <n v="51279"/>
    <n v="52585"/>
    <n v="21552"/>
    <n v="22236"/>
    <n v="3504"/>
    <n v="3272"/>
    <n v="48670"/>
    <n v="55355"/>
    <n v="125005"/>
    <n v="4166.833333333333"/>
    <n v="133448"/>
    <n v="4448.2666666666664"/>
    <n v="4770"/>
    <n v="5031"/>
    <n v="125005"/>
    <n v="133448"/>
    <n v="51196"/>
    <n v="49452"/>
    <n v="38788"/>
    <n v="16815"/>
    <n v="45347"/>
    <n v="29883"/>
    <n v="34741"/>
    <n v="39156"/>
    <n v="170072"/>
    <n v="188.9688888888889"/>
    <n v="135306"/>
    <n v="150.34"/>
    <m/>
    <m/>
    <n v="0"/>
    <n v="0"/>
    <m/>
    <m/>
    <m/>
    <m/>
    <m/>
    <m/>
    <m/>
    <m/>
    <n v="0"/>
    <n v="0"/>
    <n v="0"/>
    <n v="0"/>
    <n v="4355.8022222222216"/>
    <n v="4598.6066666666666"/>
  </r>
  <r>
    <x v="13"/>
    <s v="Mountain View College  (DCCCD)"/>
    <n v="226930"/>
    <x v="7"/>
    <s v="sem"/>
    <s v="sem"/>
    <n v="47160"/>
    <n v="53767"/>
    <n v="16028"/>
    <n v="16833"/>
    <n v="7157"/>
    <n v="8507"/>
    <n v="46834"/>
    <n v="54455"/>
    <n v="117179"/>
    <n v="3905.9666666666667"/>
    <n v="133562"/>
    <n v="4452.0666666666666"/>
    <n v="6036"/>
    <n v="9231"/>
    <n v="117179"/>
    <n v="133562"/>
    <n v="37533"/>
    <n v="40904"/>
    <n v="39404"/>
    <n v="44019"/>
    <n v="29764"/>
    <n v="41273"/>
    <n v="50054"/>
    <n v="44485"/>
    <n v="156755"/>
    <n v="174.17222222222222"/>
    <n v="170681"/>
    <n v="189.64555555555555"/>
    <m/>
    <m/>
    <n v="0"/>
    <n v="0"/>
    <m/>
    <m/>
    <m/>
    <m/>
    <m/>
    <m/>
    <m/>
    <m/>
    <n v="0"/>
    <n v="0"/>
    <n v="0"/>
    <n v="0"/>
    <n v="4080.1388888888887"/>
    <n v="4641.7122222222224"/>
  </r>
  <r>
    <x v="13"/>
    <s v="North Central Texas Community College"/>
    <n v="224110"/>
    <x v="7"/>
    <s v="sem"/>
    <s v="sem"/>
    <n v="61383"/>
    <n v="68993"/>
    <n v="19389"/>
    <n v="20740"/>
    <n v="0"/>
    <n v="0"/>
    <n v="69853"/>
    <n v="77469"/>
    <n v="150625"/>
    <n v="5020.833333333333"/>
    <n v="167202"/>
    <n v="5573.4"/>
    <n v="7989"/>
    <n v="9215"/>
    <n v="150625"/>
    <n v="167202"/>
    <n v="8528"/>
    <n v="14450"/>
    <n v="11557"/>
    <n v="9245"/>
    <n v="8953"/>
    <n v="10379"/>
    <n v="23510"/>
    <n v="21973"/>
    <n v="52548"/>
    <n v="58.386666666666663"/>
    <n v="56047"/>
    <n v="62.274444444444441"/>
    <m/>
    <m/>
    <n v="0"/>
    <n v="0"/>
    <m/>
    <m/>
    <m/>
    <m/>
    <m/>
    <m/>
    <m/>
    <m/>
    <n v="0"/>
    <n v="0"/>
    <n v="0"/>
    <n v="0"/>
    <n v="5079.2199999999993"/>
    <n v="5635.6744444444439"/>
  </r>
  <r>
    <x v="13"/>
    <s v="Odessa College "/>
    <n v="227304"/>
    <x v="7"/>
    <s v="sem"/>
    <s v="sem"/>
    <n v="36714"/>
    <n v="37704"/>
    <n v="6511"/>
    <n v="6015"/>
    <n v="4747"/>
    <n v="4937"/>
    <n v="38791"/>
    <n v="43822"/>
    <n v="86763"/>
    <n v="2892.1"/>
    <n v="92478"/>
    <n v="3082.6"/>
    <n v="8344"/>
    <n v="9777"/>
    <n v="86763"/>
    <n v="92478"/>
    <n v="58109"/>
    <n v="61458"/>
    <n v="82846"/>
    <n v="50067"/>
    <n v="81785"/>
    <n v="64607"/>
    <n v="81177"/>
    <n v="78835"/>
    <n v="303917"/>
    <n v="337.68555555555554"/>
    <n v="254967"/>
    <n v="283.29666666666668"/>
    <m/>
    <m/>
    <n v="0"/>
    <n v="0"/>
    <m/>
    <m/>
    <m/>
    <m/>
    <m/>
    <m/>
    <m/>
    <m/>
    <n v="0"/>
    <n v="0"/>
    <n v="0"/>
    <n v="0"/>
    <n v="3229.7855555555552"/>
    <n v="3365.8966666666665"/>
  </r>
  <r>
    <x v="13"/>
    <s v="Paris Junior College"/>
    <n v="227401"/>
    <x v="7"/>
    <s v="sem"/>
    <s v="sem"/>
    <n v="37827"/>
    <n v="42081"/>
    <n v="7710"/>
    <n v="9693"/>
    <n v="5083"/>
    <n v="5482"/>
    <n v="42324"/>
    <n v="52991"/>
    <n v="92944"/>
    <n v="3098.1333333333332"/>
    <n v="110247"/>
    <n v="3674.9"/>
    <n v="8390"/>
    <n v="10740"/>
    <n v="92944"/>
    <n v="110247"/>
    <n v="13540"/>
    <n v="25584"/>
    <n v="28083"/>
    <n v="25126"/>
    <n v="24720"/>
    <n v="25943"/>
    <n v="19820"/>
    <n v="36772"/>
    <n v="86163"/>
    <n v="95.736666666666665"/>
    <n v="113425"/>
    <n v="126.02777777777777"/>
    <m/>
    <m/>
    <n v="0"/>
    <n v="0"/>
    <m/>
    <m/>
    <m/>
    <m/>
    <m/>
    <m/>
    <m/>
    <m/>
    <n v="0"/>
    <n v="0"/>
    <n v="0"/>
    <n v="0"/>
    <n v="3193.87"/>
    <n v="3800.9277777777779"/>
  </r>
  <r>
    <x v="13"/>
    <s v="Southwest Texas Junior College "/>
    <n v="228316"/>
    <x v="7"/>
    <s v="sem"/>
    <s v="sem"/>
    <n v="37925"/>
    <n v="43252"/>
    <n v="8372"/>
    <n v="7378"/>
    <n v="3620"/>
    <n v="4937"/>
    <n v="43253"/>
    <n v="49952"/>
    <n v="93170"/>
    <n v="3105.6666666666665"/>
    <n v="105519"/>
    <n v="3517.3"/>
    <n v="12564"/>
    <n v="15445"/>
    <n v="93170"/>
    <n v="105519"/>
    <n v="11895"/>
    <n v="35582"/>
    <n v="33433"/>
    <n v="27495"/>
    <n v="25356"/>
    <n v="37802"/>
    <n v="15276"/>
    <n v="17439"/>
    <n v="85960"/>
    <n v="95.511111111111106"/>
    <n v="118318"/>
    <n v="131.46444444444444"/>
    <m/>
    <m/>
    <n v="0"/>
    <n v="0"/>
    <m/>
    <m/>
    <m/>
    <m/>
    <m/>
    <m/>
    <m/>
    <m/>
    <n v="0"/>
    <n v="0"/>
    <n v="0"/>
    <n v="0"/>
    <n v="3201.1777777777775"/>
    <n v="3648.7644444444445"/>
  </r>
  <r>
    <x v="13"/>
    <s v="Temple College "/>
    <n v="228608"/>
    <x v="7"/>
    <s v="sem"/>
    <s v="sem"/>
    <n v="40573"/>
    <n v="44858"/>
    <n v="10959"/>
    <n v="12308"/>
    <n v="0"/>
    <n v="0"/>
    <n v="47788"/>
    <n v="52837"/>
    <n v="99320"/>
    <n v="3310.6666666666665"/>
    <n v="110003"/>
    <n v="3666.7666666666669"/>
    <n v="10613"/>
    <n v="12734"/>
    <n v="99320"/>
    <n v="110003"/>
    <n v="25081"/>
    <n v="22505"/>
    <n v="37240"/>
    <n v="29602"/>
    <n v="19193"/>
    <n v="34957"/>
    <n v="25037"/>
    <n v="28067"/>
    <n v="106551"/>
    <n v="118.39"/>
    <n v="115131"/>
    <n v="127.92333333333333"/>
    <m/>
    <m/>
    <n v="0"/>
    <n v="0"/>
    <m/>
    <m/>
    <m/>
    <m/>
    <m/>
    <m/>
    <m/>
    <m/>
    <n v="0"/>
    <n v="0"/>
    <n v="0"/>
    <n v="0"/>
    <n v="3429.0566666666664"/>
    <n v="3794.69"/>
  </r>
  <r>
    <x v="13"/>
    <s v="Texarkana College "/>
    <n v="228699"/>
    <x v="7"/>
    <s v="sem"/>
    <s v="sem"/>
    <n v="34480"/>
    <n v="35933"/>
    <n v="11132"/>
    <n v="12023"/>
    <n v="2291"/>
    <n v="2439"/>
    <n v="41762"/>
    <n v="45650"/>
    <n v="89665"/>
    <n v="2988.8333333333335"/>
    <n v="96045"/>
    <n v="3201.5"/>
    <n v="8803"/>
    <n v="10112"/>
    <n v="89665"/>
    <n v="96045"/>
    <n v="26592"/>
    <n v="15012"/>
    <n v="181522"/>
    <n v="175353"/>
    <n v="104136"/>
    <n v="105673"/>
    <n v="96631"/>
    <n v="100410"/>
    <n v="408881"/>
    <n v="454.3122222222222"/>
    <n v="396448"/>
    <n v="440.4977777777778"/>
    <m/>
    <m/>
    <n v="0"/>
    <n v="0"/>
    <m/>
    <m/>
    <m/>
    <m/>
    <m/>
    <m/>
    <m/>
    <m/>
    <n v="0"/>
    <n v="0"/>
    <n v="0"/>
    <n v="0"/>
    <n v="3443.1455555555558"/>
    <n v="3641.9977777777776"/>
  </r>
  <r>
    <x v="13"/>
    <s v="Texas State Technical College-Harlingen "/>
    <n v="229319"/>
    <x v="7"/>
    <s v="sem"/>
    <s v="sem"/>
    <n v="36572"/>
    <n v="41942"/>
    <n v="29524"/>
    <n v="31074"/>
    <n v="0"/>
    <n v="0"/>
    <n v="46369"/>
    <n v="52108"/>
    <n v="112465"/>
    <n v="3748.8333333333335"/>
    <n v="125124"/>
    <n v="4170.8"/>
    <n v="14940"/>
    <n v="17413"/>
    <n v="112465"/>
    <n v="125124"/>
    <n v="48048"/>
    <n v="26694"/>
    <n v="50176"/>
    <n v="31575"/>
    <n v="36111"/>
    <n v="40426"/>
    <n v="34126"/>
    <n v="35801"/>
    <n v="168461"/>
    <n v="187.17888888888888"/>
    <n v="134496"/>
    <n v="149.44"/>
    <m/>
    <m/>
    <n v="0"/>
    <n v="0"/>
    <m/>
    <m/>
    <m/>
    <m/>
    <m/>
    <m/>
    <m/>
    <m/>
    <n v="0"/>
    <n v="0"/>
    <n v="0"/>
    <n v="0"/>
    <n v="3936.0122222222226"/>
    <n v="4320.24"/>
  </r>
  <r>
    <x v="13"/>
    <s v="Texas State Technical College-Waco"/>
    <n v="228680"/>
    <x v="7"/>
    <s v="sem"/>
    <s v="sem"/>
    <n v="43385"/>
    <n v="46520"/>
    <n v="28846"/>
    <n v="33478"/>
    <n v="0"/>
    <n v="0"/>
    <n v="53229"/>
    <n v="69227"/>
    <n v="125460"/>
    <n v="4182"/>
    <n v="149225"/>
    <n v="4974.166666666667"/>
    <n v="5507"/>
    <n v="10550"/>
    <n v="125460"/>
    <n v="149225"/>
    <n v="33193"/>
    <n v="7544"/>
    <n v="30207"/>
    <n v="7018"/>
    <n v="10606"/>
    <n v="5976"/>
    <n v="10968"/>
    <n v="14974"/>
    <n v="84974"/>
    <n v="94.415555555555557"/>
    <n v="35512"/>
    <n v="39.457777777777778"/>
    <m/>
    <m/>
    <n v="0"/>
    <n v="0"/>
    <m/>
    <m/>
    <m/>
    <m/>
    <m/>
    <m/>
    <m/>
    <m/>
    <n v="0"/>
    <n v="0"/>
    <n v="0"/>
    <n v="0"/>
    <n v="4276.4155555555553"/>
    <n v="5013.6244444444446"/>
  </r>
  <r>
    <x v="13"/>
    <s v="Trinity Valley Community College"/>
    <n v="225308"/>
    <x v="7"/>
    <s v="sem"/>
    <s v="sem"/>
    <n v="52993"/>
    <n v="56357"/>
    <n v="14283"/>
    <n v="14390"/>
    <n v="11096"/>
    <n v="9836"/>
    <n v="55693"/>
    <n v="63749"/>
    <n v="134065"/>
    <n v="4468.833333333333"/>
    <n v="144332"/>
    <n v="4811.0666666666666"/>
    <n v="10856"/>
    <n v="13943"/>
    <n v="134065"/>
    <n v="144332"/>
    <n v="61705"/>
    <n v="61367"/>
    <n v="47948"/>
    <n v="29209"/>
    <n v="42737"/>
    <n v="45199"/>
    <n v="44754"/>
    <n v="58221"/>
    <n v="197144"/>
    <n v="219.04888888888888"/>
    <n v="193996"/>
    <n v="215.55111111111111"/>
    <m/>
    <m/>
    <n v="0"/>
    <n v="0"/>
    <m/>
    <m/>
    <m/>
    <m/>
    <m/>
    <m/>
    <m/>
    <m/>
    <n v="0"/>
    <n v="0"/>
    <n v="0"/>
    <n v="0"/>
    <n v="4687.8822222222216"/>
    <n v="5026.6177777777775"/>
  </r>
  <r>
    <x v="13"/>
    <s v="Vernon College "/>
    <n v="229504"/>
    <x v="7"/>
    <s v="sem"/>
    <s v="sem"/>
    <n v="24036"/>
    <n v="26406"/>
    <n v="4052"/>
    <n v="4699"/>
    <n v="5547"/>
    <n v="6163"/>
    <n v="23848"/>
    <n v="26680"/>
    <n v="57483"/>
    <n v="1916.1"/>
    <n v="63948"/>
    <n v="2131.6"/>
    <n v="5398"/>
    <n v="5080"/>
    <n v="57483"/>
    <n v="63948"/>
    <n v="53251"/>
    <n v="65220"/>
    <n v="35604"/>
    <n v="51276"/>
    <n v="36109"/>
    <n v="19686"/>
    <n v="63028"/>
    <n v="44630"/>
    <n v="187992"/>
    <n v="208.88"/>
    <n v="180812"/>
    <n v="200.90222222222224"/>
    <m/>
    <m/>
    <n v="0"/>
    <n v="0"/>
    <m/>
    <m/>
    <m/>
    <m/>
    <m/>
    <m/>
    <m/>
    <m/>
    <n v="0"/>
    <n v="0"/>
    <n v="0"/>
    <n v="0"/>
    <n v="2124.98"/>
    <n v="2332.5022222222224"/>
  </r>
  <r>
    <x v="13"/>
    <s v="Victoria College "/>
    <n v="229540"/>
    <x v="7"/>
    <s v="sem"/>
    <s v="sem"/>
    <n v="31529"/>
    <n v="31265"/>
    <n v="6856"/>
    <n v="7044"/>
    <n v="2115"/>
    <n v="2341"/>
    <n v="33728"/>
    <n v="34538"/>
    <n v="74228"/>
    <n v="2474.2666666666669"/>
    <n v="75188"/>
    <n v="2506.2666666666669"/>
    <n v="2867"/>
    <n v="2460"/>
    <n v="74228"/>
    <n v="75188"/>
    <n v="41861"/>
    <n v="48547"/>
    <n v="36039"/>
    <n v="31612"/>
    <n v="57549"/>
    <n v="53527"/>
    <n v="53414"/>
    <n v="32052"/>
    <n v="188863"/>
    <n v="209.84777777777776"/>
    <n v="165738"/>
    <n v="184.15333333333334"/>
    <m/>
    <m/>
    <n v="0"/>
    <n v="0"/>
    <m/>
    <m/>
    <m/>
    <m/>
    <m/>
    <m/>
    <m/>
    <m/>
    <n v="0"/>
    <n v="0"/>
    <n v="0"/>
    <n v="0"/>
    <n v="2684.1144444444444"/>
    <n v="2690.42"/>
  </r>
  <r>
    <x v="13"/>
    <s v="Weatherford College "/>
    <n v="229799"/>
    <x v="7"/>
    <s v="sem"/>
    <s v="sem"/>
    <n v="38668"/>
    <n v="42599"/>
    <n v="6174"/>
    <n v="6799"/>
    <n v="3427"/>
    <n v="4355"/>
    <n v="45241"/>
    <n v="51708"/>
    <n v="93510"/>
    <n v="3117"/>
    <n v="105461"/>
    <n v="3515.3666666666668"/>
    <n v="5461"/>
    <n v="6340"/>
    <n v="93510"/>
    <n v="105461"/>
    <n v="23281"/>
    <n v="37679"/>
    <n v="24296"/>
    <n v="27770"/>
    <n v="24572"/>
    <n v="27855"/>
    <n v="40112"/>
    <n v="51085"/>
    <n v="112261"/>
    <n v="124.73444444444445"/>
    <n v="144389"/>
    <n v="160.43222222222221"/>
    <m/>
    <m/>
    <n v="0"/>
    <n v="0"/>
    <m/>
    <m/>
    <m/>
    <m/>
    <m/>
    <m/>
    <m/>
    <m/>
    <n v="0"/>
    <n v="0"/>
    <n v="0"/>
    <n v="0"/>
    <n v="3241.7344444444443"/>
    <n v="3675.798888888889"/>
  </r>
  <r>
    <x v="13"/>
    <s v="Wharton County Junior College "/>
    <n v="229841"/>
    <x v="7"/>
    <s v="sem"/>
    <s v="sem"/>
    <n v="50540"/>
    <n v="51819"/>
    <n v="10405"/>
    <n v="11625"/>
    <n v="5452"/>
    <n v="5956"/>
    <n v="56027"/>
    <n v="61786"/>
    <n v="122424"/>
    <n v="4080.8"/>
    <n v="131186"/>
    <n v="4372.8666666666668"/>
    <n v="8129"/>
    <n v="9205"/>
    <n v="122424"/>
    <n v="131186"/>
    <n v="5774"/>
    <n v="6716"/>
    <n v="3482"/>
    <n v="4125"/>
    <n v="7076"/>
    <n v="8246"/>
    <n v="9395"/>
    <n v="6345"/>
    <n v="25727"/>
    <n v="28.585555555555555"/>
    <n v="25432"/>
    <n v="28.257777777777779"/>
    <m/>
    <m/>
    <n v="0"/>
    <n v="0"/>
    <m/>
    <m/>
    <m/>
    <m/>
    <m/>
    <m/>
    <m/>
    <m/>
    <n v="0"/>
    <n v="0"/>
    <n v="0"/>
    <n v="0"/>
    <n v="4109.3855555555556"/>
    <n v="4401.1244444444446"/>
  </r>
  <r>
    <x v="13"/>
    <s v="Clarendon College "/>
    <n v="223922"/>
    <x v="8"/>
    <s v="sem"/>
    <s v="sem"/>
    <n v="10699"/>
    <n v="12536"/>
    <n v="1803"/>
    <n v="2285"/>
    <n v="1016"/>
    <n v="989"/>
    <n v="13381"/>
    <n v="14476"/>
    <n v="26899"/>
    <n v="896.63333333333333"/>
    <n v="30286"/>
    <n v="1009.5333333333333"/>
    <n v="3204"/>
    <n v="3875"/>
    <n v="26899"/>
    <n v="30286"/>
    <n v="5000"/>
    <n v="3930"/>
    <n v="3688"/>
    <n v="13760"/>
    <n v="544"/>
    <n v="2032"/>
    <n v="3472"/>
    <n v="6176"/>
    <n v="12704"/>
    <n v="14.115555555555556"/>
    <n v="25898"/>
    <n v="28.775555555555556"/>
    <m/>
    <m/>
    <n v="0"/>
    <n v="0"/>
    <m/>
    <m/>
    <m/>
    <m/>
    <m/>
    <m/>
    <m/>
    <m/>
    <n v="0"/>
    <n v="0"/>
    <n v="0"/>
    <n v="0"/>
    <n v="910.74888888888893"/>
    <n v="1038.3088888888888"/>
  </r>
  <r>
    <x v="13"/>
    <s v="Frank Phillips College "/>
    <n v="224891"/>
    <x v="8"/>
    <s v="sem"/>
    <s v="sem"/>
    <n v="11563"/>
    <n v="11003"/>
    <n v="2008"/>
    <n v="1850"/>
    <n v="756"/>
    <n v="581"/>
    <n v="11408"/>
    <n v="11506"/>
    <n v="25735"/>
    <n v="857.83333333333337"/>
    <n v="24940"/>
    <n v="831.33333333333337"/>
    <n v="4798"/>
    <n v="3873"/>
    <n v="25735"/>
    <n v="24940"/>
    <n v="18845"/>
    <n v="32442"/>
    <n v="34349"/>
    <n v="8598"/>
    <n v="25379"/>
    <n v="8016"/>
    <n v="25422"/>
    <n v="19576"/>
    <n v="103995"/>
    <n v="115.55"/>
    <n v="68632"/>
    <n v="76.257777777777775"/>
    <m/>
    <m/>
    <n v="0"/>
    <n v="0"/>
    <m/>
    <m/>
    <m/>
    <m/>
    <m/>
    <m/>
    <m/>
    <m/>
    <n v="0"/>
    <n v="0"/>
    <n v="0"/>
    <n v="0"/>
    <n v="973.38333333333333"/>
    <n v="907.5911111111111"/>
  </r>
  <r>
    <x v="13"/>
    <s v="Galveston College "/>
    <n v="224961"/>
    <x v="8"/>
    <s v="sem"/>
    <s v="sem"/>
    <n v="17074"/>
    <n v="16036"/>
    <n v="5350"/>
    <n v="4472"/>
    <n v="1655"/>
    <n v="1427"/>
    <n v="17237"/>
    <n v="17716"/>
    <n v="41316"/>
    <n v="1377.2"/>
    <n v="39651"/>
    <n v="1321.7"/>
    <n v="2274"/>
    <n v="2584"/>
    <n v="41316"/>
    <n v="39651"/>
    <n v="13253"/>
    <n v="6264"/>
    <n v="5535"/>
    <n v="3862"/>
    <n v="3350"/>
    <n v="2910"/>
    <n v="3840"/>
    <n v="6603"/>
    <n v="25978"/>
    <n v="28.864444444444445"/>
    <n v="19639"/>
    <n v="21.821111111111112"/>
    <m/>
    <m/>
    <n v="0"/>
    <n v="0"/>
    <m/>
    <m/>
    <m/>
    <m/>
    <m/>
    <m/>
    <m/>
    <m/>
    <n v="0"/>
    <n v="0"/>
    <n v="0"/>
    <n v="0"/>
    <n v="1406.0644444444445"/>
    <n v="1343.5211111111112"/>
  </r>
  <r>
    <x v="13"/>
    <s v="Lamar State College-Orange"/>
    <n v="226107"/>
    <x v="8"/>
    <s v="sem"/>
    <s v="sem"/>
    <n v="17643"/>
    <n v="16971"/>
    <n v="4179"/>
    <n v="4544"/>
    <n v="1424"/>
    <n v="1638"/>
    <n v="20118"/>
    <n v="21307"/>
    <n v="43364"/>
    <n v="1445.4666666666667"/>
    <n v="44460"/>
    <n v="1482"/>
    <n v="2382"/>
    <n v="2285"/>
    <n v="43364"/>
    <n v="44460"/>
    <n v="18826"/>
    <n v="1108"/>
    <n v="12088"/>
    <n v="9132"/>
    <n v="10198"/>
    <n v="3017"/>
    <n v="898"/>
    <n v="9510"/>
    <n v="42010"/>
    <n v="46.677777777777777"/>
    <n v="22767"/>
    <n v="25.296666666666667"/>
    <m/>
    <m/>
    <n v="0"/>
    <n v="0"/>
    <m/>
    <m/>
    <m/>
    <m/>
    <m/>
    <m/>
    <m/>
    <m/>
    <n v="0"/>
    <n v="0"/>
    <n v="0"/>
    <n v="0"/>
    <n v="1492.1444444444444"/>
    <n v="1507.2966666666666"/>
  </r>
  <r>
    <x v="13"/>
    <s v="Lamar State College-Port Arthur"/>
    <n v="226116"/>
    <x v="8"/>
    <s v="sem"/>
    <s v="sem"/>
    <n v="18514"/>
    <n v="17198"/>
    <n v="2239"/>
    <n v="2160"/>
    <n v="3428"/>
    <n v="3720"/>
    <n v="18132"/>
    <n v="20080"/>
    <n v="42313"/>
    <n v="1410.4333333333334"/>
    <n v="43158"/>
    <n v="1438.6"/>
    <n v="2408"/>
    <n v="2618"/>
    <n v="42313"/>
    <n v="43158"/>
    <n v="85364"/>
    <n v="74356"/>
    <n v="64544"/>
    <n v="73332"/>
    <n v="94796"/>
    <n v="76282"/>
    <n v="60903"/>
    <n v="81588"/>
    <n v="305607"/>
    <n v="339.56333333333333"/>
    <n v="305558"/>
    <n v="339.50888888888886"/>
    <m/>
    <m/>
    <n v="0"/>
    <n v="0"/>
    <m/>
    <m/>
    <m/>
    <m/>
    <m/>
    <m/>
    <m/>
    <m/>
    <n v="0"/>
    <n v="0"/>
    <n v="0"/>
    <n v="0"/>
    <n v="1749.9966666666667"/>
    <n v="1778.1088888888887"/>
  </r>
  <r>
    <x v="13"/>
    <s v="Northeast Lakeview College (ACCD)"/>
    <m/>
    <x v="8"/>
    <s v="sem"/>
    <s v="sem"/>
    <n v="1527"/>
    <n v="3968"/>
    <n v="763"/>
    <n v="696"/>
    <n v="689"/>
    <n v="402"/>
    <n v="3836"/>
    <n v="5095"/>
    <n v="6815"/>
    <n v="227.16666666666666"/>
    <n v="10161"/>
    <n v="338.7"/>
    <n v="13"/>
    <n v="3"/>
    <n v="6815"/>
    <n v="10161"/>
    <n v="0"/>
    <n v="0"/>
    <n v="0"/>
    <n v="3056"/>
    <n v="0"/>
    <n v="2776"/>
    <n v="0"/>
    <n v="3216"/>
    <n v="0"/>
    <n v="0"/>
    <n v="9048"/>
    <n v="10.053333333333333"/>
    <m/>
    <m/>
    <n v="0"/>
    <n v="0"/>
    <m/>
    <m/>
    <m/>
    <m/>
    <m/>
    <m/>
    <m/>
    <m/>
    <n v="0"/>
    <n v="0"/>
    <n v="0"/>
    <n v="0"/>
    <n v="227.16666666666666"/>
    <n v="348.75333333333333"/>
  </r>
  <r>
    <x v="13"/>
    <s v="Northeast Texas Community College "/>
    <n v="227225"/>
    <x v="8"/>
    <s v="sem"/>
    <s v="sem"/>
    <n v="21364"/>
    <n v="22714"/>
    <n v="6416"/>
    <n v="5129"/>
    <n v="2581"/>
    <n v="2823"/>
    <n v="23640"/>
    <n v="28523"/>
    <n v="54001"/>
    <n v="1800.0333333333333"/>
    <n v="59189"/>
    <n v="1972.9666666666667"/>
    <n v="906"/>
    <n v="2562"/>
    <n v="54001"/>
    <n v="59189"/>
    <n v="6844"/>
    <n v="13804"/>
    <n v="10808"/>
    <n v="13507"/>
    <n v="6062"/>
    <n v="14209"/>
    <n v="5709"/>
    <n v="7181"/>
    <n v="29423"/>
    <n v="32.69222222222222"/>
    <n v="48701"/>
    <n v="54.112222222222222"/>
    <m/>
    <m/>
    <n v="0"/>
    <n v="0"/>
    <m/>
    <m/>
    <m/>
    <m/>
    <m/>
    <m/>
    <m/>
    <m/>
    <n v="0"/>
    <n v="0"/>
    <n v="0"/>
    <n v="0"/>
    <n v="1832.7255555555555"/>
    <n v="2027.078888888889"/>
  </r>
  <r>
    <x v="13"/>
    <s v="Panola College"/>
    <n v="227386"/>
    <x v="8"/>
    <s v="sem"/>
    <s v="sem"/>
    <n v="17305"/>
    <n v="18223"/>
    <n v="3948"/>
    <n v="3847"/>
    <n v="1187"/>
    <n v="1241"/>
    <n v="19200"/>
    <n v="19924"/>
    <n v="41640"/>
    <n v="1388"/>
    <n v="43235"/>
    <n v="1441.1666666666667"/>
    <n v="3202"/>
    <n v="3379"/>
    <n v="41640"/>
    <n v="43235"/>
    <n v="6770"/>
    <n v="13587"/>
    <n v="11371"/>
    <n v="6446"/>
    <n v="12569"/>
    <n v="14274"/>
    <n v="17430"/>
    <n v="12269"/>
    <n v="48140"/>
    <n v="53.488888888888887"/>
    <n v="46576"/>
    <n v="51.751111111111108"/>
    <m/>
    <m/>
    <n v="0"/>
    <n v="0"/>
    <m/>
    <m/>
    <m/>
    <m/>
    <m/>
    <m/>
    <m/>
    <m/>
    <n v="0"/>
    <n v="0"/>
    <n v="0"/>
    <n v="0"/>
    <n v="1441.4888888888888"/>
    <n v="1492.9177777777779"/>
  </r>
  <r>
    <x v="13"/>
    <s v="Ranger College "/>
    <n v="227687"/>
    <x v="8"/>
    <s v="sem"/>
    <s v="sem"/>
    <n v="7283"/>
    <n v="7011"/>
    <n v="1170"/>
    <n v="1045"/>
    <n v="396"/>
    <n v="281"/>
    <n v="10033"/>
    <n v="10390"/>
    <n v="18882"/>
    <n v="629.4"/>
    <n v="18727"/>
    <n v="624.23333333333335"/>
    <n v="2816"/>
    <n v="3570"/>
    <n v="18882"/>
    <n v="18727"/>
    <n v="215"/>
    <n v="2505"/>
    <n v="2356"/>
    <n v="672"/>
    <n v="1764"/>
    <n v="3479"/>
    <n v="161"/>
    <n v="455"/>
    <n v="4496"/>
    <n v="4.9955555555555557"/>
    <n v="7111"/>
    <n v="7.9011111111111108"/>
    <m/>
    <m/>
    <n v="0"/>
    <n v="0"/>
    <m/>
    <m/>
    <m/>
    <m/>
    <m/>
    <m/>
    <m/>
    <m/>
    <n v="0"/>
    <n v="0"/>
    <n v="0"/>
    <n v="0"/>
    <n v="634.39555555555557"/>
    <n v="632.13444444444451"/>
  </r>
  <r>
    <x v="13"/>
    <s v="Southwest Collegiate Institute for the Deaf (HCJCD)"/>
    <n v="382911"/>
    <x v="8"/>
    <s v="sem"/>
    <s v="sem"/>
    <n v="1011"/>
    <n v="1127"/>
    <n v="0"/>
    <n v="0"/>
    <n v="0"/>
    <n v="0"/>
    <n v="1072"/>
    <n v="1014"/>
    <n v="2083"/>
    <n v="69.433333333333337"/>
    <n v="2141"/>
    <n v="71.36666666666666"/>
    <m/>
    <m/>
    <n v="0"/>
    <n v="0"/>
    <n v="0"/>
    <n v="0"/>
    <n v="0"/>
    <n v="0"/>
    <n v="0"/>
    <n v="0"/>
    <n v="0"/>
    <n v="0"/>
    <n v="0"/>
    <n v="0"/>
    <n v="0"/>
    <n v="0"/>
    <m/>
    <m/>
    <n v="0"/>
    <n v="0"/>
    <m/>
    <m/>
    <m/>
    <m/>
    <m/>
    <m/>
    <m/>
    <m/>
    <n v="0"/>
    <n v="0"/>
    <n v="0"/>
    <n v="0"/>
    <n v="69.433333333333337"/>
    <n v="71.36666666666666"/>
  </r>
  <r>
    <x v="13"/>
    <s v="Texas State Technical College-Marshall"/>
    <n v="408394"/>
    <x v="8"/>
    <s v="sem"/>
    <s v="sem"/>
    <n v="6166"/>
    <n v="6839"/>
    <n v="4064"/>
    <n v="5349"/>
    <n v="0"/>
    <n v="0"/>
    <n v="7644"/>
    <n v="9000"/>
    <n v="17874"/>
    <n v="595.79999999999995"/>
    <n v="21188"/>
    <n v="706.26666666666665"/>
    <n v="2520"/>
    <n v="2882"/>
    <n v="17874"/>
    <n v="21188"/>
    <n v="7512"/>
    <n v="6066"/>
    <n v="10156"/>
    <n v="4926"/>
    <n v="5532"/>
    <n v="8762"/>
    <n v="6310"/>
    <n v="6887"/>
    <n v="29510"/>
    <n v="32.788888888888891"/>
    <n v="26641"/>
    <n v="29.601111111111113"/>
    <m/>
    <m/>
    <n v="0"/>
    <n v="0"/>
    <m/>
    <m/>
    <m/>
    <m/>
    <m/>
    <m/>
    <m/>
    <m/>
    <n v="0"/>
    <n v="0"/>
    <n v="0"/>
    <n v="0"/>
    <n v="628.58888888888885"/>
    <n v="735.86777777777775"/>
  </r>
  <r>
    <x v="13"/>
    <s v="Texas State Technical College-West Texas"/>
    <n v="229328"/>
    <x v="8"/>
    <s v="sem"/>
    <s v="sem"/>
    <n v="14505"/>
    <n v="15939"/>
    <n v="12792"/>
    <n v="12551"/>
    <n v="0"/>
    <n v="0"/>
    <n v="15670"/>
    <n v="15350"/>
    <n v="42967"/>
    <n v="1432.2333333333333"/>
    <n v="43840"/>
    <n v="1461.3333333333333"/>
    <n v="3975"/>
    <n v="3680"/>
    <n v="42967"/>
    <n v="43840"/>
    <n v="56447"/>
    <n v="19356"/>
    <n v="112373"/>
    <n v="1448"/>
    <n v="107082"/>
    <n v="1982"/>
    <n v="21241"/>
    <n v="4968"/>
    <n v="297143"/>
    <n v="330.1588888888889"/>
    <n v="27754"/>
    <n v="30.837777777777777"/>
    <m/>
    <m/>
    <n v="0"/>
    <n v="0"/>
    <m/>
    <m/>
    <m/>
    <m/>
    <m/>
    <m/>
    <m/>
    <m/>
    <n v="0"/>
    <n v="0"/>
    <n v="0"/>
    <n v="0"/>
    <n v="1762.3922222222222"/>
    <n v="1492.171111111111"/>
  </r>
  <r>
    <x v="13"/>
    <s v="Western Texas College "/>
    <n v="229832"/>
    <x v="8"/>
    <s v="sem"/>
    <s v="sem"/>
    <n v="14873"/>
    <n v="16065"/>
    <n v="8903"/>
    <n v="8600"/>
    <n v="2233"/>
    <n v="2121"/>
    <n v="15275"/>
    <n v="18928"/>
    <n v="41284"/>
    <n v="1376.1333333333334"/>
    <n v="45714"/>
    <n v="1523.8"/>
    <n v="3416"/>
    <n v="5585"/>
    <n v="41284"/>
    <n v="45714"/>
    <n v="17492"/>
    <n v="75657"/>
    <n v="21182"/>
    <n v="72621"/>
    <n v="9357"/>
    <n v="59683"/>
    <n v="92301"/>
    <n v="63847"/>
    <n v="140332"/>
    <n v="155.92444444444445"/>
    <n v="271808"/>
    <n v="302.00888888888886"/>
    <m/>
    <m/>
    <n v="0"/>
    <n v="0"/>
    <m/>
    <m/>
    <m/>
    <m/>
    <m/>
    <m/>
    <m/>
    <m/>
    <n v="0"/>
    <n v="0"/>
    <n v="0"/>
    <n v="0"/>
    <n v="1532.0577777777778"/>
    <n v="1825.8088888888888"/>
  </r>
  <r>
    <x v="13"/>
    <s v="Alamo Community College District (ACCD)"/>
    <m/>
    <x v="14"/>
    <s v="sem"/>
    <s v="sem"/>
    <n v="420371"/>
    <n v="450683"/>
    <n v="113775"/>
    <n v="128909"/>
    <n v="32653"/>
    <n v="36948"/>
    <n v="433344"/>
    <n v="484687"/>
    <n v="1000143"/>
    <n v="33338.1"/>
    <n v="1101227"/>
    <n v="36707.566666666666"/>
    <n v="59184"/>
    <n v="70008"/>
    <n v="1000143"/>
    <n v="1101227"/>
    <n v="206008"/>
    <n v="219760"/>
    <n v="147099"/>
    <n v="145394"/>
    <n v="193408"/>
    <n v="197326"/>
    <n v="297098"/>
    <n v="234170"/>
    <n v="843613"/>
    <n v="937.34777777777776"/>
    <n v="796650"/>
    <n v="885.16666666666663"/>
    <m/>
    <m/>
    <n v="0"/>
    <n v="0"/>
    <m/>
    <m/>
    <m/>
    <m/>
    <m/>
    <m/>
    <m/>
    <m/>
    <n v="0"/>
    <n v="0"/>
    <n v="0"/>
    <n v="0"/>
    <n v="34275.447777777779"/>
    <n v="37592.73333333333"/>
  </r>
  <r>
    <x v="13"/>
    <s v="Dallas County Community College District (DCCD)"/>
    <m/>
    <x v="14"/>
    <s v="sem"/>
    <s v="sem"/>
    <n v="329693"/>
    <n v="370872"/>
    <n v="124144"/>
    <n v="101181"/>
    <n v="61311"/>
    <n v="91987"/>
    <n v="316483"/>
    <n v="344609"/>
    <n v="831631"/>
    <n v="27721.033333333333"/>
    <n v="908649"/>
    <n v="30288.3"/>
    <n v="48160"/>
    <n v="57534"/>
    <n v="831631"/>
    <n v="908649"/>
    <n v="400320"/>
    <n v="425253"/>
    <n v="390592"/>
    <n v="382833"/>
    <n v="388149"/>
    <n v="417726"/>
    <n v="560720"/>
    <n v="542184"/>
    <n v="1739781"/>
    <n v="1933.09"/>
    <n v="1767996"/>
    <n v="1964.44"/>
    <m/>
    <m/>
    <n v="0"/>
    <n v="0"/>
    <m/>
    <m/>
    <m/>
    <m/>
    <m/>
    <m/>
    <m/>
    <m/>
    <n v="0"/>
    <n v="0"/>
    <n v="0"/>
    <n v="0"/>
    <n v="29654.123333333333"/>
    <n v="32252.739999999998"/>
  </r>
  <r>
    <x v="13"/>
    <s v="Dallas County Community College District (DCCD)"/>
    <m/>
    <x v="15"/>
    <s v="sem"/>
    <s v="sem"/>
    <n v="131588"/>
    <n v="156032"/>
    <n v="44686"/>
    <n v="44160"/>
    <n v="21657"/>
    <n v="24520"/>
    <n v="135438"/>
    <n v="156448"/>
    <n v="333369"/>
    <n v="11112.3"/>
    <n v="381160"/>
    <n v="12705.333333333334"/>
    <n v="18261"/>
    <n v="27262"/>
    <n v="333369"/>
    <n v="381160"/>
    <n v="295730"/>
    <n v="421242"/>
    <n v="391747"/>
    <n v="543772"/>
    <n v="427626"/>
    <n v="472009"/>
    <n v="505346"/>
    <n v="600098"/>
    <n v="1620449"/>
    <n v="1800.4988888888888"/>
    <n v="2037121"/>
    <n v="2263.4677777777779"/>
    <m/>
    <m/>
    <n v="0"/>
    <n v="0"/>
    <m/>
    <m/>
    <m/>
    <m/>
    <m/>
    <m/>
    <m/>
    <m/>
    <n v="0"/>
    <n v="0"/>
    <n v="0"/>
    <n v="0"/>
    <n v="12912.798888888889"/>
    <n v="14968.801111111112"/>
  </r>
  <r>
    <x v="13"/>
    <s v="Howard County Community/Junior College District (HCJCD)"/>
    <m/>
    <x v="15"/>
    <s v="sem"/>
    <s v="sem"/>
    <n v="26299"/>
    <n v="29219"/>
    <n v="4842"/>
    <n v="5143"/>
    <n v="2238"/>
    <n v="2216"/>
    <n v="28526"/>
    <n v="34176"/>
    <n v="61905"/>
    <n v="2063.5"/>
    <n v="70754"/>
    <n v="2358.4666666666667"/>
    <n v="11052"/>
    <n v="13550"/>
    <n v="61905"/>
    <n v="70754"/>
    <n v="215791"/>
    <n v="235084"/>
    <n v="255640"/>
    <n v="203040"/>
    <n v="244486"/>
    <n v="201376"/>
    <n v="249635"/>
    <n v="245653"/>
    <n v="965552"/>
    <n v="1072.8355555555556"/>
    <n v="885153"/>
    <n v="983.50333333333333"/>
    <m/>
    <m/>
    <n v="0"/>
    <n v="0"/>
    <m/>
    <m/>
    <m/>
    <m/>
    <m/>
    <m/>
    <m/>
    <m/>
    <n v="0"/>
    <n v="0"/>
    <n v="0"/>
    <n v="0"/>
    <n v="3136.3355555555554"/>
    <n v="3341.9700000000003"/>
  </r>
  <r>
    <x v="13"/>
    <s v="Alamo Community College District (ACCD)"/>
    <m/>
    <x v="16"/>
    <s v="sem"/>
    <s v="sem"/>
    <n v="1527"/>
    <n v="3968"/>
    <n v="763"/>
    <n v="696"/>
    <n v="689"/>
    <n v="402"/>
    <n v="3836"/>
    <n v="5095"/>
    <n v="6815"/>
    <n v="227.16666666666666"/>
    <n v="10161"/>
    <n v="338.7"/>
    <n v="13"/>
    <n v="3"/>
    <n v="6815"/>
    <n v="10161"/>
    <n v="0"/>
    <n v="0"/>
    <n v="0"/>
    <n v="3056"/>
    <n v="0"/>
    <n v="2776"/>
    <n v="0"/>
    <n v="3216"/>
    <n v="0"/>
    <n v="0"/>
    <n v="9048"/>
    <n v="10.053333333333333"/>
    <m/>
    <m/>
    <n v="0"/>
    <n v="0"/>
    <m/>
    <m/>
    <m/>
    <m/>
    <m/>
    <m/>
    <m/>
    <m/>
    <n v="0"/>
    <n v="0"/>
    <n v="0"/>
    <n v="0"/>
    <n v="227.16666666666666"/>
    <n v="348.75333333333333"/>
  </r>
  <r>
    <x v="13"/>
    <s v="Howard County Community/Junior College District (HCJCD)"/>
    <m/>
    <x v="16"/>
    <s v="sem"/>
    <s v="sem"/>
    <n v="1011"/>
    <n v="1127"/>
    <n v="0"/>
    <n v="0"/>
    <n v="0"/>
    <n v="0"/>
    <n v="1072"/>
    <n v="1014"/>
    <n v="2083"/>
    <n v="69.433333333333337"/>
    <n v="2141"/>
    <n v="71.36666666666666"/>
    <n v="0"/>
    <n v="0"/>
    <n v="2083"/>
    <n v="2141"/>
    <n v="0"/>
    <n v="0"/>
    <n v="0"/>
    <n v="0"/>
    <n v="0"/>
    <n v="0"/>
    <n v="0"/>
    <n v="0"/>
    <n v="0"/>
    <n v="0"/>
    <n v="0"/>
    <n v="0"/>
    <m/>
    <m/>
    <n v="0"/>
    <n v="0"/>
    <m/>
    <m/>
    <m/>
    <m/>
    <m/>
    <m/>
    <m/>
    <m/>
    <n v="0"/>
    <n v="0"/>
    <n v="0"/>
    <n v="0"/>
    <n v="69.433333333333337"/>
    <n v="71.36666666666666"/>
  </r>
  <r>
    <x v="13"/>
    <s v="Alamo Community College District (ACCD)"/>
    <m/>
    <x v="17"/>
    <s v="sem"/>
    <s v="sem"/>
    <n v="421898"/>
    <n v="454651"/>
    <n v="114538"/>
    <n v="129605"/>
    <n v="33342"/>
    <n v="37350"/>
    <n v="437180"/>
    <n v="489782"/>
    <n v="1006958"/>
    <n v="33565.26666666667"/>
    <n v="1111388"/>
    <n v="37046.26666666667"/>
    <n v="59197"/>
    <n v="70011"/>
    <n v="1006958"/>
    <n v="1111388"/>
    <n v="206008"/>
    <n v="219760"/>
    <n v="147099"/>
    <n v="148450"/>
    <n v="193408"/>
    <n v="200102"/>
    <n v="297098"/>
    <n v="237386"/>
    <n v="843613"/>
    <n v="937.34777777777776"/>
    <n v="805698"/>
    <n v="895.22"/>
    <m/>
    <m/>
    <n v="0"/>
    <n v="0"/>
    <m/>
    <m/>
    <m/>
    <m/>
    <m/>
    <m/>
    <m/>
    <m/>
    <n v="0"/>
    <n v="0"/>
    <n v="0"/>
    <n v="0"/>
    <n v="34502.614444444451"/>
    <n v="37941.486666666671"/>
  </r>
  <r>
    <x v="13"/>
    <s v="Dallas County Community College District (DCCD)"/>
    <m/>
    <x v="17"/>
    <s v="sem"/>
    <s v="sem"/>
    <n v="461281"/>
    <n v="526904"/>
    <n v="168830"/>
    <n v="145341"/>
    <n v="82968"/>
    <n v="116507"/>
    <n v="451921"/>
    <n v="501057"/>
    <n v="1165000"/>
    <n v="38833.333333333336"/>
    <n v="1289809"/>
    <n v="42993.633333333331"/>
    <n v="66421"/>
    <n v="84796"/>
    <n v="1165000"/>
    <n v="1289809"/>
    <n v="696050"/>
    <n v="846495"/>
    <n v="782339"/>
    <n v="926605"/>
    <n v="815775"/>
    <n v="889735"/>
    <n v="1066066"/>
    <n v="1142282"/>
    <n v="3360230"/>
    <n v="3733.588888888889"/>
    <n v="3805117"/>
    <n v="4227.9077777777775"/>
    <m/>
    <m/>
    <n v="0"/>
    <n v="0"/>
    <m/>
    <m/>
    <m/>
    <m/>
    <m/>
    <m/>
    <m/>
    <m/>
    <n v="0"/>
    <n v="0"/>
    <n v="0"/>
    <n v="0"/>
    <n v="42566.922222222223"/>
    <n v="47221.54111111111"/>
  </r>
  <r>
    <x v="13"/>
    <s v="Howard County Community/Junior College District (HCJCD)"/>
    <m/>
    <x v="17"/>
    <s v="sem"/>
    <s v="sem"/>
    <n v="27310"/>
    <n v="30346"/>
    <n v="4842"/>
    <n v="5143"/>
    <n v="2238"/>
    <n v="2216"/>
    <n v="29598"/>
    <n v="35190"/>
    <n v="63988"/>
    <n v="2132.9333333333334"/>
    <n v="72895"/>
    <n v="2429.8333333333335"/>
    <n v="11052"/>
    <n v="13550"/>
    <n v="63988"/>
    <n v="72895"/>
    <n v="215791"/>
    <n v="235084"/>
    <n v="255640"/>
    <n v="203040"/>
    <n v="244486"/>
    <n v="201376"/>
    <n v="249635"/>
    <n v="245653"/>
    <n v="965552"/>
    <n v="1072.8355555555556"/>
    <n v="885153"/>
    <n v="983.50333333333333"/>
    <m/>
    <m/>
    <n v="0"/>
    <n v="0"/>
    <m/>
    <m/>
    <m/>
    <m/>
    <m/>
    <m/>
    <m/>
    <m/>
    <n v="0"/>
    <n v="0"/>
    <n v="0"/>
    <n v="0"/>
    <n v="3205.7688888888888"/>
    <n v="3413.336666666667"/>
  </r>
  <r>
    <x v="13"/>
    <s v="TEXAS A&amp;M UNIV-CENTRAL TEXAS"/>
    <s v="???"/>
    <x v="12"/>
    <m/>
    <m/>
    <m/>
    <m/>
    <m/>
    <m/>
    <m/>
    <m/>
    <m/>
    <n v="9877"/>
    <n v="0"/>
    <n v="0"/>
    <n v="9877"/>
    <n v="329.23333333333335"/>
    <m/>
    <m/>
    <n v="0"/>
    <n v="0"/>
    <m/>
    <m/>
    <m/>
    <m/>
    <m/>
    <m/>
    <m/>
    <m/>
    <n v="0"/>
    <n v="0"/>
    <n v="0"/>
    <n v="0"/>
    <m/>
    <m/>
    <n v="0"/>
    <n v="0"/>
    <m/>
    <m/>
    <m/>
    <m/>
    <m/>
    <m/>
    <m/>
    <n v="3560"/>
    <n v="0"/>
    <n v="0"/>
    <n v="3560"/>
    <n v="148.33333333333334"/>
    <n v="0"/>
    <n v="477.56666666666672"/>
  </r>
  <r>
    <x v="13"/>
    <s v="TEXAS A&amp;M UNIV-SAN ANTONIO"/>
    <s v="???"/>
    <x v="12"/>
    <m/>
    <m/>
    <m/>
    <m/>
    <m/>
    <m/>
    <m/>
    <m/>
    <m/>
    <n v="16090"/>
    <n v="0"/>
    <n v="0"/>
    <n v="16090"/>
    <n v="536.33333333333337"/>
    <m/>
    <m/>
    <n v="0"/>
    <n v="0"/>
    <m/>
    <m/>
    <m/>
    <m/>
    <m/>
    <m/>
    <m/>
    <m/>
    <n v="0"/>
    <n v="0"/>
    <n v="0"/>
    <n v="0"/>
    <m/>
    <m/>
    <n v="0"/>
    <n v="0"/>
    <m/>
    <m/>
    <m/>
    <m/>
    <m/>
    <m/>
    <m/>
    <n v="3913"/>
    <n v="0"/>
    <n v="0"/>
    <n v="3913"/>
    <n v="163.04166666666666"/>
    <n v="0"/>
    <n v="699.375"/>
  </r>
  <r>
    <x v="13"/>
    <s v="UNIV. OF NORTH TEXAS AT DALLAS"/>
    <s v="???"/>
    <x v="12"/>
    <m/>
    <m/>
    <m/>
    <m/>
    <m/>
    <m/>
    <m/>
    <m/>
    <m/>
    <n v="12575"/>
    <n v="0"/>
    <n v="0"/>
    <n v="12575"/>
    <n v="419.16666666666669"/>
    <m/>
    <m/>
    <n v="0"/>
    <n v="0"/>
    <m/>
    <m/>
    <m/>
    <m/>
    <m/>
    <m/>
    <m/>
    <m/>
    <n v="0"/>
    <n v="0"/>
    <n v="0"/>
    <n v="0"/>
    <m/>
    <m/>
    <n v="0"/>
    <n v="0"/>
    <m/>
    <m/>
    <m/>
    <m/>
    <m/>
    <m/>
    <m/>
    <n v="1704"/>
    <n v="0"/>
    <n v="0"/>
    <n v="1704"/>
    <n v="71"/>
    <n v="0"/>
    <n v="490.16666666666669"/>
  </r>
  <r>
    <x v="14"/>
    <s v="George Mason University "/>
    <n v="232186"/>
    <x v="0"/>
    <s v="sem"/>
    <s v="sem"/>
    <m/>
    <m/>
    <n v="220129"/>
    <n v="236755"/>
    <n v="44618"/>
    <n v="43038"/>
    <n v="236127"/>
    <n v="250183"/>
    <n v="500874"/>
    <n v="16695.8"/>
    <n v="529976"/>
    <n v="17665.866666666665"/>
    <n v="554"/>
    <n v="1386"/>
    <n v="500874"/>
    <n v="529976"/>
    <m/>
    <m/>
    <m/>
    <m/>
    <m/>
    <m/>
    <m/>
    <m/>
    <n v="0"/>
    <n v="0"/>
    <n v="0"/>
    <n v="0"/>
    <m/>
    <m/>
    <n v="0"/>
    <n v="0"/>
    <m/>
    <m/>
    <n v="68988.5"/>
    <n v="69487"/>
    <n v="20129.5"/>
    <n v="19763"/>
    <n v="69080"/>
    <n v="74453"/>
    <n v="158198"/>
    <n v="6591.583333333333"/>
    <n v="163703"/>
    <n v="6820.958333333333"/>
    <n v="23287.383333333331"/>
    <n v="24486.824999999997"/>
  </r>
  <r>
    <x v="14"/>
    <s v="Old Dominion University "/>
    <n v="232982"/>
    <x v="0"/>
    <s v="sem"/>
    <s v="sem"/>
    <m/>
    <m/>
    <n v="179804.5"/>
    <n v="206152"/>
    <n v="44342"/>
    <n v="44750"/>
    <n v="205704"/>
    <n v="218179"/>
    <n v="429850.5"/>
    <n v="14328.35"/>
    <n v="469081"/>
    <n v="15636.033333333333"/>
    <n v="136"/>
    <n v="107"/>
    <n v="429850.5"/>
    <n v="469081"/>
    <m/>
    <m/>
    <m/>
    <m/>
    <m/>
    <m/>
    <m/>
    <m/>
    <n v="0"/>
    <n v="0"/>
    <n v="0"/>
    <n v="0"/>
    <m/>
    <m/>
    <n v="0"/>
    <n v="0"/>
    <m/>
    <m/>
    <n v="30130"/>
    <n v="31257"/>
    <n v="17989"/>
    <n v="16050"/>
    <n v="33552"/>
    <n v="34695"/>
    <n v="81671"/>
    <n v="3402.9583333333335"/>
    <n v="82002"/>
    <n v="3416.75"/>
    <n v="17731.308333333334"/>
    <n v="19052.783333333333"/>
  </r>
  <r>
    <x v="14"/>
    <s v="University of Virginia"/>
    <n v="234076"/>
    <x v="0"/>
    <s v="sem"/>
    <s v="sem"/>
    <m/>
    <m/>
    <n v="213191"/>
    <n v="216412"/>
    <n v="28682"/>
    <n v="28953"/>
    <n v="219549"/>
    <n v="225092"/>
    <n v="461422"/>
    <n v="15380.733333333334"/>
    <n v="470457"/>
    <n v="15681.9"/>
    <n v="0"/>
    <n v="0"/>
    <n v="461422"/>
    <n v="470457"/>
    <m/>
    <m/>
    <m/>
    <m/>
    <m/>
    <m/>
    <m/>
    <m/>
    <n v="0"/>
    <n v="0"/>
    <n v="0"/>
    <n v="0"/>
    <m/>
    <m/>
    <n v="0"/>
    <n v="0"/>
    <m/>
    <m/>
    <n v="92984"/>
    <n v="92966"/>
    <n v="22639"/>
    <n v="22415"/>
    <n v="85698"/>
    <n v="86586"/>
    <n v="201321"/>
    <n v="8388.375"/>
    <n v="201967"/>
    <n v="8415.2916666666661"/>
    <n v="23769.108333333334"/>
    <n v="24097.191666666666"/>
  </r>
  <r>
    <x v="14"/>
    <s v="Virginia Tech "/>
    <n v="233921"/>
    <x v="0"/>
    <s v="sem"/>
    <s v="sem"/>
    <m/>
    <m/>
    <n v="330036"/>
    <n v="362577"/>
    <n v="35927"/>
    <n v="37979"/>
    <n v="358013"/>
    <n v="358169"/>
    <n v="723976"/>
    <n v="24132.533333333333"/>
    <n v="758725"/>
    <n v="25290.833333333332"/>
    <n v="0"/>
    <n v="0"/>
    <n v="723976"/>
    <n v="758725"/>
    <m/>
    <m/>
    <m/>
    <m/>
    <m/>
    <m/>
    <m/>
    <m/>
    <n v="0"/>
    <n v="0"/>
    <n v="0"/>
    <n v="0"/>
    <m/>
    <m/>
    <n v="0"/>
    <n v="0"/>
    <m/>
    <m/>
    <n v="60456"/>
    <n v="63220"/>
    <n v="8386"/>
    <n v="8441"/>
    <n v="65922"/>
    <n v="69455"/>
    <n v="134764"/>
    <n v="5615.166666666667"/>
    <n v="141116"/>
    <n v="5879.833333333333"/>
    <n v="29747.7"/>
    <n v="31170.666666666664"/>
  </r>
  <r>
    <x v="14"/>
    <s v="College of William &amp; Mary"/>
    <n v="231624"/>
    <x v="1"/>
    <s v="sem"/>
    <s v="sem"/>
    <m/>
    <m/>
    <n v="79503.5"/>
    <n v="83638"/>
    <n v="5379"/>
    <n v="7454"/>
    <n v="84133"/>
    <n v="83971"/>
    <n v="169015.5"/>
    <n v="5633.85"/>
    <n v="175063"/>
    <n v="5835.4333333333334"/>
    <n v="0"/>
    <n v="0"/>
    <n v="169015.5"/>
    <n v="175063"/>
    <m/>
    <m/>
    <m/>
    <m/>
    <m/>
    <m/>
    <m/>
    <m/>
    <n v="0"/>
    <n v="0"/>
    <n v="0"/>
    <n v="0"/>
    <m/>
    <m/>
    <n v="0"/>
    <n v="0"/>
    <m/>
    <m/>
    <n v="22732.5"/>
    <n v="23997"/>
    <n v="5343.5"/>
    <n v="5222"/>
    <n v="23617"/>
    <n v="24744"/>
    <n v="51693"/>
    <n v="2153.875"/>
    <n v="53963"/>
    <n v="2248.4583333333335"/>
    <n v="7787.7250000000004"/>
    <n v="8083.8916666666664"/>
  </r>
  <r>
    <x v="14"/>
    <s v="Virginia Commonwealth University"/>
    <n v="234030"/>
    <x v="1"/>
    <s v="sem"/>
    <s v="sem"/>
    <m/>
    <m/>
    <n v="268479.5"/>
    <n v="296848"/>
    <n v="42855.5"/>
    <n v="43401.5"/>
    <n v="295423"/>
    <n v="305196"/>
    <n v="606758"/>
    <n v="20225.266666666666"/>
    <n v="645445.5"/>
    <n v="21514.85"/>
    <n v="2785"/>
    <n v="3884"/>
    <n v="606758"/>
    <n v="645445.5"/>
    <m/>
    <m/>
    <m/>
    <m/>
    <m/>
    <m/>
    <m/>
    <m/>
    <n v="0"/>
    <n v="0"/>
    <n v="0"/>
    <n v="0"/>
    <m/>
    <m/>
    <n v="0"/>
    <n v="0"/>
    <m/>
    <m/>
    <n v="61235.5"/>
    <n v="67767"/>
    <n v="17136.5"/>
    <n v="17238"/>
    <n v="67012"/>
    <n v="68210"/>
    <n v="145384"/>
    <n v="6057.666666666667"/>
    <n v="153215"/>
    <n v="6383.958333333333"/>
    <n v="26282.933333333334"/>
    <n v="27898.808333333331"/>
  </r>
  <r>
    <x v="14"/>
    <s v="James Madison University  "/>
    <n v="232423"/>
    <x v="2"/>
    <s v="sem"/>
    <s v="sem"/>
    <m/>
    <m/>
    <n v="226989"/>
    <n v="248467"/>
    <n v="24679"/>
    <n v="25703"/>
    <n v="248014"/>
    <n v="252949"/>
    <n v="499682"/>
    <n v="16656.066666666666"/>
    <n v="527119"/>
    <n v="17570.633333333335"/>
    <n v="1026"/>
    <n v="1603"/>
    <n v="499682"/>
    <n v="527119"/>
    <m/>
    <m/>
    <m/>
    <m/>
    <m/>
    <m/>
    <m/>
    <m/>
    <n v="0"/>
    <n v="0"/>
    <n v="0"/>
    <n v="0"/>
    <m/>
    <m/>
    <n v="0"/>
    <n v="0"/>
    <m/>
    <m/>
    <n v="10907"/>
    <n v="12175"/>
    <n v="6822"/>
    <n v="5916"/>
    <n v="12420"/>
    <n v="13791"/>
    <n v="30149"/>
    <n v="1256.2083333333333"/>
    <n v="31882"/>
    <n v="1328.4166666666667"/>
    <n v="17912.274999999998"/>
    <n v="18899.050000000003"/>
  </r>
  <r>
    <x v="14"/>
    <s v="Norfolk State University "/>
    <n v="232937"/>
    <x v="2"/>
    <s v="sem"/>
    <s v="sem"/>
    <m/>
    <m/>
    <n v="63301"/>
    <n v="71093"/>
    <n v="7578"/>
    <n v="7877"/>
    <n v="72561"/>
    <n v="79430"/>
    <n v="143440"/>
    <n v="4781.333333333333"/>
    <n v="158400"/>
    <n v="5280"/>
    <n v="39"/>
    <n v="133"/>
    <n v="143440"/>
    <n v="158400"/>
    <m/>
    <m/>
    <m/>
    <m/>
    <m/>
    <m/>
    <m/>
    <m/>
    <n v="0"/>
    <n v="0"/>
    <n v="0"/>
    <n v="0"/>
    <m/>
    <m/>
    <n v="0"/>
    <n v="0"/>
    <m/>
    <m/>
    <n v="5628"/>
    <n v="5387"/>
    <n v="1490"/>
    <n v="3716"/>
    <n v="5225"/>
    <n v="6534"/>
    <n v="12343"/>
    <n v="514.29166666666663"/>
    <n v="15637"/>
    <n v="651.54166666666663"/>
    <n v="5295.625"/>
    <n v="5931.541666666667"/>
  </r>
  <r>
    <x v="14"/>
    <s v="Radford University"/>
    <n v="233277"/>
    <x v="3"/>
    <s v="sem"/>
    <s v="sem"/>
    <m/>
    <m/>
    <n v="108160"/>
    <n v="119931"/>
    <n v="13292"/>
    <n v="11865"/>
    <n v="119539"/>
    <n v="113607"/>
    <n v="240991"/>
    <n v="8033.0333333333338"/>
    <n v="245403"/>
    <n v="8180.1"/>
    <n v="0"/>
    <n v="0"/>
    <n v="240991"/>
    <n v="245403"/>
    <m/>
    <m/>
    <m/>
    <m/>
    <m/>
    <m/>
    <m/>
    <m/>
    <n v="0"/>
    <n v="0"/>
    <n v="0"/>
    <n v="0"/>
    <m/>
    <m/>
    <n v="0"/>
    <n v="0"/>
    <m/>
    <m/>
    <n v="7811"/>
    <n v="7336"/>
    <n v="4089"/>
    <n v="3713"/>
    <n v="7488"/>
    <n v="8104"/>
    <n v="19388"/>
    <n v="807.83333333333337"/>
    <n v="19153"/>
    <n v="798.04166666666663"/>
    <n v="8840.8666666666668"/>
    <n v="8978.1416666666664"/>
  </r>
  <r>
    <x v="14"/>
    <s v="Virginia State University "/>
    <n v="234155"/>
    <x v="3"/>
    <s v="sem"/>
    <s v="sem"/>
    <m/>
    <m/>
    <n v="56311"/>
    <n v="69015"/>
    <n v="4202"/>
    <n v="5843"/>
    <n v="64940"/>
    <n v="72100"/>
    <n v="125453"/>
    <n v="4181.7666666666664"/>
    <n v="146958"/>
    <n v="4898.6000000000004"/>
    <n v="0"/>
    <n v="0"/>
    <n v="125453"/>
    <n v="146958"/>
    <m/>
    <m/>
    <m/>
    <m/>
    <m/>
    <m/>
    <m/>
    <m/>
    <n v="0"/>
    <n v="0"/>
    <n v="0"/>
    <n v="0"/>
    <m/>
    <m/>
    <n v="0"/>
    <n v="0"/>
    <m/>
    <m/>
    <n v="2866"/>
    <n v="3395"/>
    <n v="1280"/>
    <n v="1143"/>
    <n v="3434"/>
    <n v="3524"/>
    <n v="7580"/>
    <n v="315.83333333333331"/>
    <n v="8062"/>
    <n v="335.91666666666669"/>
    <n v="4497.5999999999995"/>
    <n v="5234.5166666666673"/>
  </r>
  <r>
    <x v="14"/>
    <s v="Christopher Newport University"/>
    <n v="231712"/>
    <x v="4"/>
    <s v="sem"/>
    <s v="sem"/>
    <m/>
    <m/>
    <n v="64515"/>
    <n v="69113"/>
    <n v="3467"/>
    <n v="3422"/>
    <n v="69310"/>
    <n v="69689"/>
    <n v="137292"/>
    <n v="4576.3999999999996"/>
    <n v="142224"/>
    <n v="4740.8"/>
    <n v="94"/>
    <n v="156"/>
    <n v="137292"/>
    <n v="142224"/>
    <m/>
    <m/>
    <m/>
    <m/>
    <m/>
    <m/>
    <m/>
    <m/>
    <n v="0"/>
    <n v="0"/>
    <n v="0"/>
    <n v="0"/>
    <m/>
    <m/>
    <n v="0"/>
    <n v="0"/>
    <m/>
    <m/>
    <n v="1122"/>
    <n v="1229"/>
    <n v="836"/>
    <n v="854"/>
    <n v="1066"/>
    <n v="1360"/>
    <n v="3024"/>
    <n v="126"/>
    <n v="3443"/>
    <n v="143.45833333333334"/>
    <n v="4702.3999999999996"/>
    <n v="4884.2583333333332"/>
  </r>
  <r>
    <x v="14"/>
    <s v="Longwood University "/>
    <n v="232566"/>
    <x v="4"/>
    <s v="sem"/>
    <s v="sem"/>
    <m/>
    <m/>
    <n v="51535"/>
    <n v="58919"/>
    <n v="7528"/>
    <n v="7683"/>
    <n v="57950"/>
    <n v="58279"/>
    <n v="117013"/>
    <n v="3900.4333333333334"/>
    <n v="124881"/>
    <n v="4162.7"/>
    <n v="4"/>
    <n v="0"/>
    <n v="117013"/>
    <n v="124881"/>
    <m/>
    <m/>
    <m/>
    <m/>
    <m/>
    <m/>
    <m/>
    <m/>
    <n v="0"/>
    <n v="0"/>
    <n v="0"/>
    <n v="0"/>
    <m/>
    <m/>
    <n v="0"/>
    <n v="0"/>
    <m/>
    <m/>
    <n v="2601"/>
    <n v="2495"/>
    <n v="3038"/>
    <n v="2489"/>
    <n v="3231"/>
    <n v="3120"/>
    <n v="8870"/>
    <n v="369.58333333333331"/>
    <n v="8104"/>
    <n v="337.66666666666669"/>
    <n v="4270.0166666666664"/>
    <n v="4500.3666666666668"/>
  </r>
  <r>
    <x v="14"/>
    <s v="University of Mary Washington "/>
    <n v="232681"/>
    <x v="4"/>
    <s v="sem"/>
    <s v="sem"/>
    <m/>
    <m/>
    <n v="57069"/>
    <n v="59348"/>
    <n v="6087"/>
    <n v="6402"/>
    <n v="57059"/>
    <n v="58430"/>
    <n v="120215"/>
    <n v="4007.1666666666665"/>
    <n v="124180"/>
    <n v="4139.333333333333"/>
    <n v="36"/>
    <n v="50"/>
    <n v="120215"/>
    <n v="124180"/>
    <m/>
    <m/>
    <m/>
    <m/>
    <m/>
    <m/>
    <m/>
    <m/>
    <n v="0"/>
    <n v="0"/>
    <n v="0"/>
    <n v="0"/>
    <m/>
    <m/>
    <n v="0"/>
    <n v="0"/>
    <m/>
    <m/>
    <n v="3503"/>
    <n v="4112"/>
    <n v="2302"/>
    <n v="2249"/>
    <n v="4875"/>
    <n v="5483"/>
    <n v="10680"/>
    <n v="445"/>
    <n v="11844"/>
    <n v="493.5"/>
    <n v="4452.1666666666661"/>
    <n v="4632.833333333333"/>
  </r>
  <r>
    <x v="14"/>
    <s v="University of Virginia's College at Wise "/>
    <n v="233897"/>
    <x v="5"/>
    <s v="sem"/>
    <s v="sem"/>
    <m/>
    <m/>
    <n v="21897"/>
    <n v="24732.5"/>
    <n v="3129"/>
    <n v="2788"/>
    <n v="23703"/>
    <n v="24352"/>
    <n v="48729"/>
    <n v="1624.3"/>
    <n v="51872.5"/>
    <n v="1729.0833333333333"/>
    <n v="84"/>
    <n v="142"/>
    <n v="48729"/>
    <n v="51872.5"/>
    <m/>
    <m/>
    <m/>
    <m/>
    <m/>
    <m/>
    <m/>
    <m/>
    <n v="0"/>
    <n v="0"/>
    <n v="0"/>
    <n v="0"/>
    <m/>
    <m/>
    <n v="0"/>
    <n v="0"/>
    <m/>
    <m/>
    <n v="0"/>
    <n v="0"/>
    <n v="0"/>
    <n v="0"/>
    <n v="0"/>
    <n v="0"/>
    <n v="0"/>
    <n v="0"/>
    <n v="0"/>
    <n v="0"/>
    <n v="1624.3"/>
    <n v="1729.0833333333333"/>
  </r>
  <r>
    <x v="14"/>
    <s v="J.S. Reynolds Community College"/>
    <n v="232414"/>
    <x v="6"/>
    <s v="sem"/>
    <s v="sem"/>
    <m/>
    <m/>
    <n v="84335"/>
    <n v="99470"/>
    <n v="28496"/>
    <n v="30658"/>
    <n v="99537"/>
    <n v="105206"/>
    <n v="212368"/>
    <n v="7078.9333333333334"/>
    <n v="235334"/>
    <n v="7844.4666666666662"/>
    <n v="20452"/>
    <n v="26703"/>
    <n v="212368"/>
    <n v="235334"/>
    <m/>
    <m/>
    <m/>
    <m/>
    <m/>
    <m/>
    <m/>
    <m/>
    <n v="0"/>
    <n v="0"/>
    <n v="0"/>
    <n v="0"/>
    <m/>
    <m/>
    <n v="0"/>
    <n v="0"/>
    <m/>
    <m/>
    <m/>
    <n v="0"/>
    <m/>
    <n v="0"/>
    <m/>
    <n v="0"/>
    <n v="0"/>
    <n v="0"/>
    <n v="0"/>
    <n v="0"/>
    <n v="7078.9333333333334"/>
    <n v="7844.4666666666662"/>
  </r>
  <r>
    <x v="14"/>
    <s v="Northern Virginia Community College "/>
    <n v="232946"/>
    <x v="6"/>
    <s v="sem"/>
    <s v="sem"/>
    <m/>
    <m/>
    <n v="338972"/>
    <n v="370604"/>
    <n v="131229"/>
    <n v="139824"/>
    <n v="370651"/>
    <n v="415694"/>
    <n v="840852"/>
    <n v="28028.400000000001"/>
    <n v="926122"/>
    <n v="30870.733333333334"/>
    <n v="17183"/>
    <n v="21309"/>
    <n v="840852"/>
    <n v="926122"/>
    <m/>
    <m/>
    <m/>
    <m/>
    <m/>
    <m/>
    <m/>
    <m/>
    <n v="0"/>
    <n v="0"/>
    <n v="0"/>
    <n v="0"/>
    <m/>
    <m/>
    <n v="0"/>
    <n v="0"/>
    <m/>
    <m/>
    <m/>
    <n v="0"/>
    <m/>
    <n v="0"/>
    <m/>
    <n v="0"/>
    <n v="0"/>
    <n v="0"/>
    <n v="0"/>
    <n v="0"/>
    <n v="28028.400000000001"/>
    <n v="30870.733333333334"/>
  </r>
  <r>
    <x v="14"/>
    <s v="Thomas Nelson Community College "/>
    <n v="233754"/>
    <x v="6"/>
    <s v="sem"/>
    <s v="sem"/>
    <m/>
    <m/>
    <n v="69027"/>
    <n v="83275"/>
    <n v="21470"/>
    <n v="21903"/>
    <n v="83283"/>
    <n v="89517"/>
    <n v="173780"/>
    <n v="5792.666666666667"/>
    <n v="194695"/>
    <n v="6489.833333333333"/>
    <n v="12054"/>
    <n v="17535"/>
    <n v="173780"/>
    <n v="194695"/>
    <m/>
    <m/>
    <m/>
    <m/>
    <m/>
    <m/>
    <m/>
    <m/>
    <n v="0"/>
    <n v="0"/>
    <n v="0"/>
    <n v="0"/>
    <m/>
    <m/>
    <n v="0"/>
    <n v="0"/>
    <m/>
    <m/>
    <m/>
    <n v="0"/>
    <m/>
    <n v="0"/>
    <m/>
    <n v="0"/>
    <n v="0"/>
    <n v="0"/>
    <n v="0"/>
    <n v="0"/>
    <n v="5792.666666666667"/>
    <n v="6489.833333333333"/>
  </r>
  <r>
    <x v="14"/>
    <s v="Tidewater Community College "/>
    <n v="233772"/>
    <x v="6"/>
    <s v="sem"/>
    <s v="sem"/>
    <m/>
    <m/>
    <n v="216377"/>
    <n v="235450"/>
    <n v="74013"/>
    <n v="77845"/>
    <n v="235637"/>
    <n v="277684"/>
    <n v="526027"/>
    <n v="17534.233333333334"/>
    <n v="590979"/>
    <n v="19699.3"/>
    <n v="11423"/>
    <n v="18160"/>
    <n v="526027"/>
    <n v="590979"/>
    <m/>
    <m/>
    <m/>
    <m/>
    <m/>
    <m/>
    <m/>
    <m/>
    <n v="0"/>
    <n v="0"/>
    <n v="0"/>
    <n v="0"/>
    <m/>
    <m/>
    <n v="0"/>
    <n v="0"/>
    <m/>
    <m/>
    <m/>
    <n v="0"/>
    <m/>
    <n v="0"/>
    <m/>
    <n v="0"/>
    <n v="0"/>
    <n v="0"/>
    <n v="0"/>
    <n v="0"/>
    <n v="17534.233333333334"/>
    <n v="19699.3"/>
  </r>
  <r>
    <x v="14"/>
    <s v="Blue Ridge Community College "/>
    <n v="231536"/>
    <x v="7"/>
    <s v="sem"/>
    <s v="sem"/>
    <m/>
    <m/>
    <n v="33507"/>
    <n v="38877"/>
    <n v="8363"/>
    <n v="8189"/>
    <n v="38881"/>
    <n v="43326"/>
    <n v="80751"/>
    <n v="2691.7"/>
    <n v="90392"/>
    <n v="3013.0666666666666"/>
    <n v="4423"/>
    <n v="8580"/>
    <n v="80751"/>
    <n v="90392"/>
    <m/>
    <m/>
    <m/>
    <m/>
    <m/>
    <m/>
    <m/>
    <m/>
    <n v="0"/>
    <n v="0"/>
    <n v="0"/>
    <n v="0"/>
    <m/>
    <m/>
    <n v="0"/>
    <n v="0"/>
    <m/>
    <m/>
    <m/>
    <n v="0"/>
    <m/>
    <n v="0"/>
    <m/>
    <n v="0"/>
    <n v="0"/>
    <n v="0"/>
    <n v="0"/>
    <n v="0"/>
    <n v="2691.7"/>
    <n v="3013.0666666666666"/>
  </r>
  <r>
    <x v="14"/>
    <s v="Central Virginia Community College "/>
    <n v="231697"/>
    <x v="7"/>
    <s v="sem"/>
    <s v="sem"/>
    <m/>
    <m/>
    <n v="30181"/>
    <n v="37554"/>
    <n v="8632"/>
    <n v="8723"/>
    <n v="37629"/>
    <n v="41170"/>
    <n v="76442"/>
    <n v="2548.0666666666666"/>
    <n v="87447"/>
    <n v="2914.9"/>
    <n v="11400"/>
    <n v="18560"/>
    <n v="76442"/>
    <n v="87447"/>
    <m/>
    <m/>
    <m/>
    <m/>
    <m/>
    <m/>
    <m/>
    <m/>
    <n v="0"/>
    <n v="0"/>
    <n v="0"/>
    <n v="0"/>
    <m/>
    <m/>
    <n v="0"/>
    <n v="0"/>
    <m/>
    <m/>
    <m/>
    <n v="0"/>
    <m/>
    <n v="0"/>
    <m/>
    <n v="0"/>
    <n v="0"/>
    <n v="0"/>
    <n v="0"/>
    <n v="0"/>
    <n v="2548.0666666666666"/>
    <n v="2914.9"/>
  </r>
  <r>
    <x v="14"/>
    <s v="Danville Community College "/>
    <n v="231882"/>
    <x v="7"/>
    <s v="sem"/>
    <s v="sem"/>
    <m/>
    <m/>
    <n v="32490"/>
    <n v="30777"/>
    <n v="11254"/>
    <n v="9870"/>
    <n v="30798"/>
    <n v="35273"/>
    <n v="74542"/>
    <n v="2484.7333333333331"/>
    <n v="75920"/>
    <n v="2530.6666666666665"/>
    <n v="12237"/>
    <n v="18838"/>
    <n v="74542"/>
    <n v="75920"/>
    <m/>
    <m/>
    <m/>
    <m/>
    <m/>
    <m/>
    <m/>
    <m/>
    <n v="0"/>
    <n v="0"/>
    <n v="0"/>
    <n v="0"/>
    <m/>
    <m/>
    <n v="0"/>
    <n v="0"/>
    <m/>
    <m/>
    <m/>
    <n v="0"/>
    <m/>
    <n v="0"/>
    <m/>
    <n v="0"/>
    <n v="0"/>
    <n v="0"/>
    <n v="0"/>
    <n v="0"/>
    <n v="2484.7333333333331"/>
    <n v="2530.6666666666665"/>
  </r>
  <r>
    <x v="14"/>
    <s v="Germanna Community College"/>
    <n v="232195"/>
    <x v="7"/>
    <s v="sem"/>
    <s v="sem"/>
    <m/>
    <m/>
    <n v="43364"/>
    <n v="52370"/>
    <n v="10506"/>
    <n v="11894"/>
    <n v="52417"/>
    <n v="58763"/>
    <n v="106287"/>
    <n v="3542.9"/>
    <n v="123027"/>
    <n v="4100.8999999999996"/>
    <n v="9410"/>
    <n v="15778"/>
    <n v="106287"/>
    <n v="123027"/>
    <m/>
    <m/>
    <m/>
    <m/>
    <m/>
    <m/>
    <m/>
    <m/>
    <n v="0"/>
    <n v="0"/>
    <n v="0"/>
    <n v="0"/>
    <m/>
    <m/>
    <n v="0"/>
    <n v="0"/>
    <m/>
    <m/>
    <m/>
    <n v="0"/>
    <m/>
    <n v="0"/>
    <m/>
    <n v="0"/>
    <n v="0"/>
    <n v="0"/>
    <n v="0"/>
    <n v="0"/>
    <n v="3542.9"/>
    <n v="4100.8999999999996"/>
  </r>
  <r>
    <x v="14"/>
    <s v="John Tyler Community College"/>
    <n v="232450"/>
    <x v="7"/>
    <s v="sem"/>
    <s v="sem"/>
    <m/>
    <m/>
    <n v="56741"/>
    <n v="65767"/>
    <n v="17823"/>
    <n v="18374"/>
    <n v="65828"/>
    <n v="76777"/>
    <n v="140392"/>
    <n v="4679.7333333333336"/>
    <n v="160918"/>
    <n v="5363.9333333333334"/>
    <n v="17805"/>
    <n v="29960"/>
    <n v="140392"/>
    <n v="160918"/>
    <m/>
    <m/>
    <m/>
    <m/>
    <m/>
    <m/>
    <m/>
    <m/>
    <n v="0"/>
    <n v="0"/>
    <n v="0"/>
    <n v="0"/>
    <m/>
    <m/>
    <n v="0"/>
    <n v="0"/>
    <m/>
    <m/>
    <m/>
    <n v="0"/>
    <m/>
    <n v="0"/>
    <m/>
    <n v="0"/>
    <n v="0"/>
    <n v="0"/>
    <n v="0"/>
    <n v="0"/>
    <n v="4679.7333333333336"/>
    <n v="5363.9333333333334"/>
  </r>
  <r>
    <x v="14"/>
    <s v="Lord Fairfax Community College  "/>
    <n v="232575"/>
    <x v="7"/>
    <s v="sem"/>
    <s v="sem"/>
    <m/>
    <m/>
    <n v="38657"/>
    <n v="47948"/>
    <n v="9985"/>
    <n v="10068"/>
    <n v="47958"/>
    <n v="54675"/>
    <n v="96600"/>
    <n v="3220"/>
    <n v="112691"/>
    <n v="3756.3666666666668"/>
    <n v="15936"/>
    <n v="25704"/>
    <n v="96600"/>
    <n v="112691"/>
    <m/>
    <m/>
    <m/>
    <m/>
    <m/>
    <m/>
    <m/>
    <m/>
    <n v="0"/>
    <n v="0"/>
    <n v="0"/>
    <n v="0"/>
    <m/>
    <m/>
    <n v="0"/>
    <n v="0"/>
    <m/>
    <m/>
    <m/>
    <n v="0"/>
    <m/>
    <n v="0"/>
    <m/>
    <n v="0"/>
    <n v="0"/>
    <n v="0"/>
    <n v="0"/>
    <n v="0"/>
    <n v="3220"/>
    <n v="3756.3666666666668"/>
  </r>
  <r>
    <x v="14"/>
    <s v="New River Community College "/>
    <n v="232867"/>
    <x v="7"/>
    <s v="sem"/>
    <s v="sem"/>
    <m/>
    <m/>
    <n v="37625"/>
    <n v="40277"/>
    <n v="8881"/>
    <n v="9455"/>
    <n v="40280"/>
    <n v="45243"/>
    <n v="86786"/>
    <n v="2892.8666666666668"/>
    <n v="94975"/>
    <n v="3165.8333333333335"/>
    <n v="10951"/>
    <n v="17770"/>
    <n v="86786"/>
    <n v="94975"/>
    <m/>
    <m/>
    <m/>
    <m/>
    <m/>
    <m/>
    <m/>
    <m/>
    <n v="0"/>
    <n v="0"/>
    <n v="0"/>
    <n v="0"/>
    <m/>
    <m/>
    <n v="0"/>
    <n v="0"/>
    <m/>
    <m/>
    <m/>
    <n v="0"/>
    <m/>
    <n v="0"/>
    <m/>
    <n v="0"/>
    <n v="0"/>
    <n v="0"/>
    <n v="0"/>
    <n v="0"/>
    <n v="2892.8666666666668"/>
    <n v="3165.8333333333335"/>
  </r>
  <r>
    <x v="14"/>
    <s v="Piedmont Virginia Community College "/>
    <n v="233116"/>
    <x v="7"/>
    <s v="sem"/>
    <s v="sem"/>
    <m/>
    <m/>
    <n v="32017"/>
    <n v="28919"/>
    <n v="7398"/>
    <n v="7433"/>
    <n v="36683"/>
    <n v="35576"/>
    <n v="76098"/>
    <n v="2536.6"/>
    <n v="71928"/>
    <n v="2397.6"/>
    <n v="11024"/>
    <n v="19122"/>
    <n v="76098"/>
    <n v="71928"/>
    <m/>
    <m/>
    <m/>
    <m/>
    <m/>
    <m/>
    <m/>
    <m/>
    <n v="0"/>
    <n v="0"/>
    <n v="0"/>
    <n v="0"/>
    <m/>
    <m/>
    <n v="0"/>
    <n v="0"/>
    <m/>
    <m/>
    <m/>
    <n v="0"/>
    <m/>
    <n v="0"/>
    <m/>
    <n v="0"/>
    <n v="0"/>
    <n v="0"/>
    <n v="0"/>
    <n v="0"/>
    <n v="2536.6"/>
    <n v="2397.6"/>
  </r>
  <r>
    <x v="14"/>
    <s v="Southside Virginia Community College  "/>
    <n v="233639"/>
    <x v="7"/>
    <s v="sem"/>
    <s v="sem"/>
    <m/>
    <m/>
    <n v="41097"/>
    <n v="36639"/>
    <n v="10380"/>
    <n v="8157"/>
    <n v="46203"/>
    <n v="39884"/>
    <n v="97680"/>
    <n v="3256"/>
    <n v="84680"/>
    <n v="2822.6666666666665"/>
    <n v="28253"/>
    <n v="17378"/>
    <n v="97680"/>
    <n v="84680"/>
    <m/>
    <m/>
    <m/>
    <m/>
    <m/>
    <m/>
    <m/>
    <m/>
    <n v="0"/>
    <n v="0"/>
    <n v="0"/>
    <n v="0"/>
    <m/>
    <m/>
    <n v="0"/>
    <n v="0"/>
    <m/>
    <m/>
    <m/>
    <n v="0"/>
    <m/>
    <n v="0"/>
    <m/>
    <n v="0"/>
    <n v="0"/>
    <n v="0"/>
    <n v="0"/>
    <n v="0"/>
    <n v="3256"/>
    <n v="2822.6666666666665"/>
  </r>
  <r>
    <x v="14"/>
    <s v="Southwest Virginia Community College "/>
    <n v="233648"/>
    <x v="7"/>
    <s v="sem"/>
    <s v="sem"/>
    <m/>
    <m/>
    <n v="28289"/>
    <n v="46173"/>
    <n v="10823"/>
    <n v="11808"/>
    <n v="31744"/>
    <n v="52684"/>
    <n v="70856"/>
    <n v="2361.8666666666668"/>
    <n v="110665"/>
    <n v="3688.8333333333335"/>
    <n v="7828"/>
    <n v="41035"/>
    <n v="70856"/>
    <n v="110665"/>
    <m/>
    <m/>
    <m/>
    <m/>
    <m/>
    <m/>
    <m/>
    <m/>
    <n v="0"/>
    <n v="0"/>
    <n v="0"/>
    <n v="0"/>
    <m/>
    <m/>
    <n v="0"/>
    <n v="0"/>
    <m/>
    <m/>
    <m/>
    <n v="0"/>
    <m/>
    <n v="0"/>
    <m/>
    <n v="0"/>
    <n v="0"/>
    <n v="0"/>
    <n v="0"/>
    <n v="0"/>
    <n v="2361.8666666666668"/>
    <n v="3688.8333333333335"/>
  </r>
  <r>
    <x v="14"/>
    <s v="Virginia Western Community College "/>
    <n v="233949"/>
    <x v="7"/>
    <s v="sem"/>
    <s v="sem"/>
    <m/>
    <m/>
    <n v="55152"/>
    <n v="31729"/>
    <n v="14940"/>
    <n v="10104"/>
    <n v="62028"/>
    <n v="34989"/>
    <n v="132120"/>
    <n v="4404"/>
    <n v="76822"/>
    <n v="2560.7333333333331"/>
    <n v="18001"/>
    <n v="12933"/>
    <n v="132120"/>
    <n v="76822"/>
    <m/>
    <m/>
    <m/>
    <m/>
    <m/>
    <m/>
    <m/>
    <m/>
    <n v="0"/>
    <n v="0"/>
    <n v="0"/>
    <n v="0"/>
    <m/>
    <m/>
    <n v="0"/>
    <n v="0"/>
    <m/>
    <m/>
    <m/>
    <n v="0"/>
    <m/>
    <n v="0"/>
    <m/>
    <n v="0"/>
    <n v="0"/>
    <n v="0"/>
    <n v="0"/>
    <n v="0"/>
    <n v="4404"/>
    <n v="2560.7333333333331"/>
  </r>
  <r>
    <x v="14"/>
    <s v="D.S. Lancaster Community College "/>
    <n v="231873"/>
    <x v="8"/>
    <s v="sem"/>
    <s v="sem"/>
    <m/>
    <m/>
    <n v="9627"/>
    <n v="62011"/>
    <n v="2559"/>
    <n v="16071"/>
    <n v="11023"/>
    <n v="67092"/>
    <n v="23209"/>
    <n v="773.63333333333333"/>
    <n v="145174"/>
    <n v="4839.1333333333332"/>
    <n v="3823"/>
    <n v="27620"/>
    <n v="23209"/>
    <n v="145174"/>
    <m/>
    <m/>
    <m/>
    <m/>
    <m/>
    <m/>
    <m/>
    <m/>
    <n v="0"/>
    <n v="0"/>
    <n v="0"/>
    <n v="0"/>
    <m/>
    <m/>
    <n v="0"/>
    <n v="0"/>
    <m/>
    <m/>
    <m/>
    <n v="0"/>
    <m/>
    <n v="0"/>
    <m/>
    <n v="0"/>
    <n v="0"/>
    <n v="0"/>
    <n v="0"/>
    <n v="0"/>
    <n v="773.63333333333333"/>
    <n v="4839.1333333333332"/>
  </r>
  <r>
    <x v="14"/>
    <s v="Eastern Shore Community College  "/>
    <n v="232052"/>
    <x v="8"/>
    <s v="sem"/>
    <s v="sem"/>
    <m/>
    <m/>
    <n v="7274"/>
    <n v="11017"/>
    <n v="1211"/>
    <n v="2432"/>
    <n v="7814"/>
    <n v="12651"/>
    <n v="16299"/>
    <n v="543.29999999999995"/>
    <n v="26100"/>
    <n v="870"/>
    <n v="2805"/>
    <n v="6600"/>
    <n v="16299"/>
    <n v="26100"/>
    <m/>
    <m/>
    <m/>
    <m/>
    <m/>
    <m/>
    <m/>
    <m/>
    <n v="0"/>
    <n v="0"/>
    <n v="0"/>
    <n v="0"/>
    <m/>
    <m/>
    <n v="0"/>
    <n v="0"/>
    <m/>
    <m/>
    <m/>
    <n v="0"/>
    <m/>
    <n v="0"/>
    <m/>
    <n v="0"/>
    <n v="0"/>
    <n v="0"/>
    <n v="0"/>
    <n v="0"/>
    <n v="543.29999999999995"/>
    <n v="870"/>
  </r>
  <r>
    <x v="14"/>
    <s v="Mountain Empire Community College  "/>
    <n v="232788"/>
    <x v="8"/>
    <s v="sem"/>
    <s v="sem"/>
    <m/>
    <m/>
    <n v="23143"/>
    <n v="7814"/>
    <n v="7842"/>
    <n v="1376"/>
    <n v="26837"/>
    <n v="8774"/>
    <n v="57822"/>
    <n v="1927.4"/>
    <n v="17964"/>
    <n v="598.79999999999995"/>
    <n v="8822"/>
    <n v="3874"/>
    <n v="57822"/>
    <n v="17964"/>
    <m/>
    <m/>
    <m/>
    <m/>
    <m/>
    <m/>
    <m/>
    <m/>
    <n v="0"/>
    <n v="0"/>
    <n v="0"/>
    <n v="0"/>
    <m/>
    <m/>
    <n v="0"/>
    <n v="0"/>
    <m/>
    <m/>
    <m/>
    <n v="0"/>
    <m/>
    <n v="0"/>
    <m/>
    <n v="0"/>
    <n v="0"/>
    <n v="0"/>
    <n v="0"/>
    <n v="0"/>
    <n v="1927.4"/>
    <n v="598.79999999999995"/>
  </r>
  <r>
    <x v="14"/>
    <s v="Patrick Henry Community College "/>
    <n v="233019"/>
    <x v="8"/>
    <s v="sem"/>
    <s v="sem"/>
    <m/>
    <m/>
    <n v="24133"/>
    <n v="26837"/>
    <n v="6242"/>
    <n v="7959"/>
    <n v="28933"/>
    <n v="30418"/>
    <n v="59308"/>
    <n v="1976.9333333333334"/>
    <n v="65214"/>
    <n v="2173.8000000000002"/>
    <n v="11337"/>
    <n v="14509"/>
    <n v="59308"/>
    <n v="65214"/>
    <m/>
    <m/>
    <m/>
    <m/>
    <m/>
    <m/>
    <m/>
    <m/>
    <n v="0"/>
    <n v="0"/>
    <n v="0"/>
    <n v="0"/>
    <m/>
    <m/>
    <n v="0"/>
    <n v="0"/>
    <m/>
    <m/>
    <m/>
    <n v="0"/>
    <m/>
    <n v="0"/>
    <m/>
    <n v="0"/>
    <n v="0"/>
    <n v="0"/>
    <n v="0"/>
    <n v="0"/>
    <n v="1976.9333333333334"/>
    <n v="2173.8000000000002"/>
  </r>
  <r>
    <x v="14"/>
    <s v="Paul D. Camp Community College  "/>
    <n v="233037"/>
    <x v="8"/>
    <s v="sem"/>
    <s v="sem"/>
    <m/>
    <m/>
    <n v="11134"/>
    <n v="11795"/>
    <n v="3511"/>
    <n v="3890"/>
    <n v="11795"/>
    <n v="12357"/>
    <n v="26440"/>
    <n v="881.33333333333337"/>
    <n v="28042"/>
    <n v="934.73333333333335"/>
    <n v="4379"/>
    <n v="6321"/>
    <n v="26440"/>
    <n v="28042"/>
    <m/>
    <m/>
    <m/>
    <m/>
    <m/>
    <m/>
    <m/>
    <m/>
    <n v="0"/>
    <n v="0"/>
    <n v="0"/>
    <n v="0"/>
    <m/>
    <m/>
    <n v="0"/>
    <n v="0"/>
    <m/>
    <m/>
    <m/>
    <n v="0"/>
    <m/>
    <n v="0"/>
    <m/>
    <n v="0"/>
    <n v="0"/>
    <n v="0"/>
    <n v="0"/>
    <n v="0"/>
    <n v="881.33333333333337"/>
    <n v="934.73333333333335"/>
  </r>
  <r>
    <x v="14"/>
    <s v="Rappahannock Community College  "/>
    <n v="233310"/>
    <x v="8"/>
    <s v="sem"/>
    <s v="sem"/>
    <m/>
    <m/>
    <n v="21383"/>
    <n v="23896"/>
    <n v="4107"/>
    <n v="4837"/>
    <n v="23920"/>
    <n v="26102"/>
    <n v="49410"/>
    <n v="1647"/>
    <n v="54835"/>
    <n v="1827.8333333333333"/>
    <n v="16894"/>
    <n v="25077"/>
    <n v="49410"/>
    <n v="54835"/>
    <m/>
    <m/>
    <m/>
    <m/>
    <m/>
    <m/>
    <m/>
    <m/>
    <n v="0"/>
    <n v="0"/>
    <n v="0"/>
    <n v="0"/>
    <m/>
    <m/>
    <n v="0"/>
    <n v="0"/>
    <m/>
    <m/>
    <m/>
    <n v="0"/>
    <m/>
    <n v="0"/>
    <m/>
    <n v="0"/>
    <n v="0"/>
    <n v="0"/>
    <n v="0"/>
    <n v="0"/>
    <n v="1647"/>
    <n v="1827.8333333333333"/>
  </r>
  <r>
    <x v="14"/>
    <s v="Richard Bland College "/>
    <n v="233338"/>
    <x v="8"/>
    <s v="sem"/>
    <s v="sem"/>
    <m/>
    <m/>
    <n v="11280"/>
    <n v="16791"/>
    <n v="2538"/>
    <n v="2553"/>
    <n v="16855"/>
    <n v="17627"/>
    <n v="30673"/>
    <n v="1022.4333333333333"/>
    <n v="36971"/>
    <n v="1232.3666666666666"/>
    <n v="2418"/>
    <n v="3957"/>
    <n v="30673"/>
    <n v="36971"/>
    <m/>
    <m/>
    <m/>
    <m/>
    <m/>
    <m/>
    <m/>
    <m/>
    <n v="0"/>
    <n v="0"/>
    <n v="0"/>
    <n v="0"/>
    <m/>
    <m/>
    <n v="0"/>
    <n v="0"/>
    <m/>
    <m/>
    <m/>
    <n v="0"/>
    <m/>
    <n v="0"/>
    <m/>
    <n v="0"/>
    <n v="0"/>
    <n v="0"/>
    <n v="0"/>
    <n v="0"/>
    <n v="1022.4333333333333"/>
    <n v="1232.3666666666666"/>
  </r>
  <r>
    <x v="14"/>
    <s v="Virginia Highlands Community College "/>
    <n v="233903"/>
    <x v="8"/>
    <s v="sem"/>
    <s v="sem"/>
    <m/>
    <m/>
    <n v="18786"/>
    <n v="22702"/>
    <n v="5831"/>
    <n v="5263"/>
    <n v="22702"/>
    <n v="26202"/>
    <n v="47319"/>
    <n v="1577.3"/>
    <n v="54167"/>
    <n v="1805.5666666666666"/>
    <n v="6237"/>
    <n v="9895"/>
    <n v="47319"/>
    <n v="54167"/>
    <m/>
    <m/>
    <m/>
    <m/>
    <m/>
    <m/>
    <m/>
    <m/>
    <n v="0"/>
    <n v="0"/>
    <n v="0"/>
    <n v="0"/>
    <m/>
    <m/>
    <n v="0"/>
    <n v="0"/>
    <m/>
    <m/>
    <m/>
    <n v="0"/>
    <m/>
    <n v="0"/>
    <m/>
    <n v="0"/>
    <n v="0"/>
    <n v="0"/>
    <n v="0"/>
    <n v="0"/>
    <n v="1577.3"/>
    <n v="1805.5666666666666"/>
  </r>
  <r>
    <x v="14"/>
    <s v="Wytheville Community College "/>
    <n v="234377"/>
    <x v="8"/>
    <s v="sem"/>
    <s v="sem"/>
    <m/>
    <m/>
    <n v="23199"/>
    <n v="27401"/>
    <n v="6948"/>
    <n v="7025"/>
    <n v="27404"/>
    <n v="32478"/>
    <n v="57551"/>
    <n v="1918.3666666666666"/>
    <n v="66904"/>
    <n v="2230.1333333333332"/>
    <n v="11250"/>
    <n v="17790"/>
    <n v="57551"/>
    <n v="66904"/>
    <m/>
    <m/>
    <m/>
    <m/>
    <m/>
    <m/>
    <m/>
    <m/>
    <n v="0"/>
    <n v="0"/>
    <n v="0"/>
    <n v="0"/>
    <m/>
    <m/>
    <n v="0"/>
    <n v="0"/>
    <m/>
    <m/>
    <m/>
    <n v="0"/>
    <m/>
    <n v="0"/>
    <m/>
    <n v="0"/>
    <n v="0"/>
    <n v="0"/>
    <n v="0"/>
    <n v="0"/>
    <n v="1918.3666666666666"/>
    <n v="2230.1333333333332"/>
  </r>
  <r>
    <x v="15"/>
    <m/>
    <m/>
    <x v="18"/>
    <m/>
    <m/>
    <m/>
    <m/>
    <m/>
    <n v="3579093.5"/>
    <m/>
    <n v="712869.5"/>
    <m/>
    <n v="3809788"/>
    <m/>
    <m/>
    <m/>
    <m/>
    <m/>
    <m/>
    <m/>
    <m/>
    <m/>
    <m/>
    <m/>
    <m/>
    <m/>
    <m/>
    <m/>
    <m/>
    <m/>
    <m/>
    <m/>
    <m/>
    <m/>
    <m/>
    <m/>
    <m/>
    <m/>
    <m/>
    <m/>
    <n v="384823"/>
    <m/>
    <n v="109209"/>
    <m/>
    <n v="400059"/>
    <m/>
    <m/>
    <m/>
    <m/>
    <m/>
    <m/>
  </r>
  <r>
    <x v="14"/>
    <s v="Richard Bland College B"/>
    <n v="233338"/>
    <x v="16"/>
    <s v="sem"/>
    <s v="sem"/>
    <n v="0"/>
    <n v="0"/>
    <n v="11280"/>
    <n v="0"/>
    <n v="2538"/>
    <n v="0"/>
    <n v="16855"/>
    <n v="0"/>
    <n v="30673"/>
    <n v="1022.4333333333333"/>
    <n v="0"/>
    <n v="0"/>
    <n v="2418"/>
    <n v="0"/>
    <n v="30673"/>
    <n v="0"/>
    <m/>
    <m/>
    <m/>
    <m/>
    <m/>
    <m/>
    <m/>
    <m/>
    <n v="0"/>
    <n v="0"/>
    <n v="0"/>
    <n v="0"/>
    <m/>
    <m/>
    <n v="0"/>
    <n v="0"/>
    <m/>
    <m/>
    <m/>
    <n v="0"/>
    <m/>
    <n v="0"/>
    <m/>
    <n v="0"/>
    <n v="0"/>
    <n v="0"/>
    <n v="0"/>
    <n v="0"/>
    <n v="1022.4333333333333"/>
    <n v="0"/>
  </r>
  <r>
    <x v="14"/>
    <s v="All Community Colleges except R. Bland"/>
    <m/>
    <x v="17"/>
    <s v="sem"/>
    <s v="sem"/>
    <n v="0"/>
    <n v="0"/>
    <n v="1192175"/>
    <n v="0"/>
    <n v="383948"/>
    <n v="0"/>
    <n v="1340448"/>
    <n v="0"/>
    <n v="2916571"/>
    <n v="97219.03333333334"/>
    <n v="0"/>
    <n v="0"/>
    <n v="253475"/>
    <n v="0"/>
    <n v="2916571"/>
    <n v="0"/>
    <m/>
    <m/>
    <m/>
    <m/>
    <m/>
    <m/>
    <m/>
    <m/>
    <n v="0"/>
    <n v="0"/>
    <n v="0"/>
    <n v="0"/>
    <m/>
    <m/>
    <n v="0"/>
    <n v="0"/>
    <m/>
    <m/>
    <m/>
    <m/>
    <m/>
    <m/>
    <m/>
    <m/>
    <n v="0"/>
    <n v="0"/>
    <n v="0"/>
    <n v="0"/>
    <n v="97219.03333333334"/>
    <n v="0"/>
  </r>
  <r>
    <x v="16"/>
    <s v="West Virginia University"/>
    <n v="238032"/>
    <x v="0"/>
    <s v="sem"/>
    <s v="sem"/>
    <m/>
    <m/>
    <n v="278416"/>
    <n v="288220"/>
    <n v="37075"/>
    <n v="37502"/>
    <n v="313368"/>
    <n v="310511"/>
    <n v="628859"/>
    <n v="20961.966666666667"/>
    <n v="636233"/>
    <n v="21207.766666666666"/>
    <n v="2593"/>
    <n v="2634"/>
    <n v="628859"/>
    <n v="636233"/>
    <m/>
    <m/>
    <m/>
    <m/>
    <m/>
    <m/>
    <m/>
    <m/>
    <n v="0"/>
    <n v="0"/>
    <n v="0"/>
    <n v="0"/>
    <m/>
    <m/>
    <n v="0"/>
    <n v="0"/>
    <m/>
    <m/>
    <n v="48495"/>
    <n v="48625"/>
    <n v="21320"/>
    <n v="21271"/>
    <n v="48666"/>
    <n v="49849"/>
    <n v="118481"/>
    <n v="4936.708333333333"/>
    <n v="119745"/>
    <n v="4989.375"/>
    <n v="25898.674999999999"/>
    <n v="26197.141666666666"/>
  </r>
  <r>
    <x v="16"/>
    <s v="Marshall University "/>
    <n v="237525"/>
    <x v="2"/>
    <s v="sem"/>
    <s v="sem"/>
    <m/>
    <m/>
    <n v="111321"/>
    <n v="109531"/>
    <n v="17215"/>
    <n v="17228"/>
    <n v="119271"/>
    <n v="124052"/>
    <n v="247807"/>
    <n v="8260.2333333333336"/>
    <n v="250811"/>
    <n v="8360.3666666666668"/>
    <n v="3836"/>
    <n v="3664"/>
    <n v="247807"/>
    <n v="250811"/>
    <m/>
    <m/>
    <m/>
    <m/>
    <m/>
    <m/>
    <m/>
    <m/>
    <n v="0"/>
    <n v="0"/>
    <n v="0"/>
    <n v="0"/>
    <m/>
    <m/>
    <n v="0"/>
    <n v="0"/>
    <m/>
    <m/>
    <n v="23746"/>
    <n v="23851"/>
    <n v="13848"/>
    <n v="12711"/>
    <n v="24089"/>
    <n v="26715"/>
    <n v="61683"/>
    <n v="2570.125"/>
    <n v="63277"/>
    <n v="2636.5416666666665"/>
    <n v="10830.358333333334"/>
    <n v="10996.908333333333"/>
  </r>
  <r>
    <x v="16"/>
    <s v="Fairmont State University"/>
    <n v="237367"/>
    <x v="4"/>
    <s v="sem"/>
    <s v="sem"/>
    <m/>
    <m/>
    <n v="51333"/>
    <n v="52239"/>
    <n v="5816"/>
    <n v="5356"/>
    <n v="56121"/>
    <n v="57683"/>
    <n v="113270"/>
    <n v="3775.6666666666665"/>
    <n v="115278"/>
    <n v="3842.6"/>
    <n v="0"/>
    <n v="0"/>
    <n v="113270"/>
    <n v="115278"/>
    <m/>
    <m/>
    <m/>
    <m/>
    <m/>
    <m/>
    <m/>
    <m/>
    <n v="0"/>
    <n v="0"/>
    <n v="0"/>
    <n v="0"/>
    <m/>
    <m/>
    <n v="0"/>
    <n v="0"/>
    <m/>
    <m/>
    <n v="2481"/>
    <n v="2435"/>
    <n v="1261"/>
    <n v="1080"/>
    <n v="2760"/>
    <n v="2287"/>
    <n v="6502"/>
    <n v="270.91666666666669"/>
    <n v="5802"/>
    <n v="241.75"/>
    <n v="4046.583333333333"/>
    <n v="4084.35"/>
  </r>
  <r>
    <x v="16"/>
    <s v="Bluefield State College "/>
    <n v="237215"/>
    <x v="5"/>
    <s v="sem"/>
    <s v="sem"/>
    <m/>
    <m/>
    <n v="22844"/>
    <n v="24466"/>
    <n v="2987"/>
    <n v="3560"/>
    <n v="24932"/>
    <n v="26258"/>
    <n v="50763"/>
    <n v="1692.1"/>
    <n v="54284"/>
    <n v="1809.4666666666667"/>
    <n v="464"/>
    <n v="317"/>
    <n v="50763"/>
    <n v="54284"/>
    <m/>
    <m/>
    <m/>
    <m/>
    <m/>
    <m/>
    <m/>
    <m/>
    <n v="0"/>
    <n v="0"/>
    <n v="0"/>
    <n v="0"/>
    <m/>
    <m/>
    <n v="0"/>
    <n v="0"/>
    <m/>
    <m/>
    <m/>
    <m/>
    <m/>
    <m/>
    <m/>
    <m/>
    <n v="0"/>
    <n v="0"/>
    <n v="0"/>
    <n v="0"/>
    <n v="1692.1"/>
    <n v="1809.4666666666667"/>
  </r>
  <r>
    <x v="16"/>
    <s v="Concord University "/>
    <n v="237330"/>
    <x v="5"/>
    <s v="sem"/>
    <s v="sem"/>
    <m/>
    <m/>
    <n v="35189"/>
    <n v="36554"/>
    <n v="3493"/>
    <n v="3450"/>
    <n v="40012"/>
    <n v="39969"/>
    <n v="78694"/>
    <n v="2623.1333333333332"/>
    <n v="79973"/>
    <n v="2665.7666666666669"/>
    <n v="1246"/>
    <n v="991"/>
    <n v="78694"/>
    <n v="79973"/>
    <m/>
    <m/>
    <m/>
    <m/>
    <m/>
    <m/>
    <m/>
    <m/>
    <n v="0"/>
    <n v="0"/>
    <n v="0"/>
    <n v="0"/>
    <m/>
    <m/>
    <n v="0"/>
    <n v="0"/>
    <m/>
    <m/>
    <n v="474"/>
    <n v="730"/>
    <n v="300"/>
    <n v="429"/>
    <n v="518"/>
    <n v="1269"/>
    <n v="1292"/>
    <n v="53.833333333333336"/>
    <n v="2428"/>
    <n v="101.16666666666667"/>
    <n v="2676.9666666666667"/>
    <n v="2766.9333333333334"/>
  </r>
  <r>
    <x v="16"/>
    <s v="Glenville State College "/>
    <n v="237385"/>
    <x v="5"/>
    <s v="sem"/>
    <s v="sem"/>
    <m/>
    <m/>
    <n v="16592"/>
    <n v="17537"/>
    <n v="1763"/>
    <n v="2173"/>
    <n v="18979.099999999999"/>
    <n v="20401"/>
    <n v="37334.1"/>
    <n v="1244.47"/>
    <n v="40111"/>
    <n v="1337.0333333333333"/>
    <n v="900"/>
    <n v="1342"/>
    <n v="37334.1"/>
    <n v="40111"/>
    <m/>
    <m/>
    <m/>
    <m/>
    <m/>
    <m/>
    <m/>
    <m/>
    <n v="0"/>
    <n v="0"/>
    <n v="0"/>
    <n v="0"/>
    <m/>
    <m/>
    <n v="0"/>
    <n v="0"/>
    <m/>
    <m/>
    <m/>
    <m/>
    <m/>
    <m/>
    <m/>
    <m/>
    <n v="0"/>
    <n v="0"/>
    <n v="0"/>
    <n v="0"/>
    <n v="1244.47"/>
    <n v="1337.0333333333333"/>
  </r>
  <r>
    <x v="16"/>
    <s v="Shepherd University "/>
    <n v="237792"/>
    <x v="5"/>
    <s v="sem"/>
    <s v="sem"/>
    <m/>
    <m/>
    <n v="47511.5"/>
    <n v="49161"/>
    <n v="4534"/>
    <n v="4752"/>
    <n v="52917.5"/>
    <n v="55175.5"/>
    <n v="104963"/>
    <n v="3498.7666666666669"/>
    <n v="109088.5"/>
    <n v="3636.2833333333333"/>
    <n v="98"/>
    <n v="104"/>
    <n v="104963"/>
    <n v="109088.5"/>
    <m/>
    <m/>
    <m/>
    <m/>
    <m/>
    <m/>
    <m/>
    <m/>
    <n v="0"/>
    <n v="0"/>
    <n v="0"/>
    <n v="0"/>
    <m/>
    <m/>
    <n v="0"/>
    <n v="0"/>
    <m/>
    <m/>
    <n v="858"/>
    <n v="850"/>
    <n v="404"/>
    <n v="394"/>
    <n v="858"/>
    <n v="948"/>
    <n v="2120"/>
    <n v="88.333333333333329"/>
    <n v="2192"/>
    <n v="91.333333333333329"/>
    <n v="3587.1000000000004"/>
    <n v="3727.6166666666668"/>
  </r>
  <r>
    <x v="16"/>
    <s v="West Liberty University"/>
    <n v="237932"/>
    <x v="5"/>
    <s v="sem"/>
    <s v="sem"/>
    <m/>
    <m/>
    <n v="30946"/>
    <n v="32861"/>
    <n v="1511"/>
    <n v="1432"/>
    <n v="36122"/>
    <n v="37927"/>
    <n v="68579"/>
    <n v="2285.9666666666667"/>
    <n v="72220"/>
    <n v="2407.3333333333335"/>
    <n v="1213"/>
    <n v="1105"/>
    <n v="68579"/>
    <n v="72220"/>
    <m/>
    <m/>
    <m/>
    <m/>
    <m/>
    <m/>
    <m/>
    <m/>
    <n v="0"/>
    <n v="0"/>
    <n v="0"/>
    <n v="0"/>
    <m/>
    <m/>
    <n v="0"/>
    <n v="0"/>
    <m/>
    <m/>
    <n v="15"/>
    <n v="159"/>
    <m/>
    <n v="159"/>
    <n v="48"/>
    <n v="297"/>
    <n v="63"/>
    <n v="2.625"/>
    <n v="615"/>
    <n v="25.625"/>
    <n v="2288.5916666666667"/>
    <n v="2432.9583333333335"/>
  </r>
  <r>
    <x v="16"/>
    <s v="West Virginia State University "/>
    <n v="237899"/>
    <x v="5"/>
    <s v="sem"/>
    <s v="sem"/>
    <m/>
    <m/>
    <n v="34776"/>
    <n v="32902"/>
    <n v="2617"/>
    <n v="2950"/>
    <n v="35261"/>
    <n v="40030"/>
    <n v="72654"/>
    <n v="2421.8000000000002"/>
    <n v="75882"/>
    <n v="2529.4"/>
    <n v="3358"/>
    <n v="3080"/>
    <n v="72654"/>
    <n v="75882"/>
    <m/>
    <m/>
    <m/>
    <m/>
    <m/>
    <m/>
    <m/>
    <m/>
    <n v="0"/>
    <n v="0"/>
    <n v="0"/>
    <n v="0"/>
    <m/>
    <m/>
    <n v="0"/>
    <n v="0"/>
    <m/>
    <m/>
    <n v="311"/>
    <n v="328"/>
    <n v="12"/>
    <n v="22"/>
    <n v="322"/>
    <n v="335"/>
    <n v="645"/>
    <n v="26.875"/>
    <n v="685"/>
    <n v="28.541666666666668"/>
    <n v="2448.6750000000002"/>
    <n v="2557.9416666666666"/>
  </r>
  <r>
    <x v="16"/>
    <s v="West Virginia University Institute of Technology"/>
    <n v="237950"/>
    <x v="5"/>
    <s v="sem"/>
    <s v="sem"/>
    <m/>
    <m/>
    <n v="16454"/>
    <n v="13954"/>
    <n v="990"/>
    <n v="857"/>
    <n v="15655"/>
    <n v="16805"/>
    <n v="33099"/>
    <n v="1103.3"/>
    <n v="31616"/>
    <n v="1053.8666666666666"/>
    <n v="773"/>
    <n v="537"/>
    <n v="33099"/>
    <n v="31616"/>
    <m/>
    <m/>
    <m/>
    <m/>
    <m/>
    <m/>
    <m/>
    <m/>
    <n v="0"/>
    <n v="0"/>
    <n v="0"/>
    <n v="0"/>
    <m/>
    <m/>
    <n v="0"/>
    <n v="0"/>
    <m/>
    <m/>
    <n v="2"/>
    <m/>
    <m/>
    <m/>
    <m/>
    <n v="0"/>
    <n v="2"/>
    <n v="8.3333333333333329E-2"/>
    <n v="0"/>
    <n v="0"/>
    <n v="1103.3833333333332"/>
    <n v="1053.8666666666666"/>
  </r>
  <r>
    <x v="16"/>
    <s v="Potomac State College of West Virginia University"/>
    <n v="237701"/>
    <x v="11"/>
    <s v="sem"/>
    <s v="sem"/>
    <m/>
    <m/>
    <n v="16557"/>
    <n v="17062"/>
    <n v="988"/>
    <n v="1367"/>
    <n v="18725"/>
    <n v="22116"/>
    <n v="36270"/>
    <n v="1209"/>
    <n v="40545"/>
    <n v="1351.5"/>
    <n v="2852"/>
    <n v="2887"/>
    <n v="36270"/>
    <n v="40545"/>
    <m/>
    <m/>
    <m/>
    <m/>
    <m/>
    <m/>
    <m/>
    <m/>
    <n v="0"/>
    <n v="0"/>
    <n v="0"/>
    <n v="0"/>
    <m/>
    <m/>
    <n v="0"/>
    <n v="0"/>
    <m/>
    <m/>
    <m/>
    <m/>
    <m/>
    <m/>
    <m/>
    <m/>
    <n v="0"/>
    <n v="0"/>
    <n v="0"/>
    <n v="0"/>
    <n v="1209"/>
    <n v="1351.5"/>
  </r>
  <r>
    <x v="16"/>
    <s v="West Virginia University at Parkersburg"/>
    <n v="237686"/>
    <x v="11"/>
    <s v="sem"/>
    <s v="sem"/>
    <m/>
    <m/>
    <n v="38158"/>
    <n v="38542"/>
    <n v="6926"/>
    <n v="8826"/>
    <n v="39085"/>
    <n v="46182"/>
    <n v="84169"/>
    <n v="2805.6333333333332"/>
    <n v="93550"/>
    <n v="3118.3333333333335"/>
    <n v="3453"/>
    <n v="3716"/>
    <n v="84169"/>
    <n v="93550"/>
    <m/>
    <m/>
    <m/>
    <m/>
    <m/>
    <m/>
    <m/>
    <m/>
    <n v="0"/>
    <n v="0"/>
    <n v="0"/>
    <n v="0"/>
    <m/>
    <m/>
    <n v="0"/>
    <n v="0"/>
    <m/>
    <m/>
    <m/>
    <m/>
    <m/>
    <m/>
    <m/>
    <m/>
    <n v="0"/>
    <n v="0"/>
    <n v="0"/>
    <n v="0"/>
    <n v="2805.6333333333332"/>
    <n v="3118.3333333333335"/>
  </r>
  <r>
    <x v="16"/>
    <s v="Blue Ridge Community &amp; Technical College"/>
    <n v="446774"/>
    <x v="8"/>
    <s v="sem"/>
    <s v="sem"/>
    <m/>
    <m/>
    <n v="14473.5"/>
    <n v="16461.5"/>
    <n v="1831"/>
    <n v="2480"/>
    <n v="16962.5"/>
    <n v="21473.5"/>
    <n v="33267"/>
    <n v="1108.9000000000001"/>
    <n v="40415"/>
    <n v="1347.1666666666667"/>
    <n v="1076"/>
    <n v="909.6"/>
    <n v="33267"/>
    <n v="40415"/>
    <m/>
    <m/>
    <m/>
    <m/>
    <m/>
    <m/>
    <m/>
    <m/>
    <n v="0"/>
    <n v="0"/>
    <n v="0"/>
    <n v="0"/>
    <m/>
    <m/>
    <n v="0"/>
    <n v="0"/>
    <m/>
    <m/>
    <m/>
    <m/>
    <m/>
    <m/>
    <m/>
    <m/>
    <n v="0"/>
    <n v="0"/>
    <n v="0"/>
    <n v="0"/>
    <n v="1108.9000000000001"/>
    <n v="1347.1666666666667"/>
  </r>
  <r>
    <x v="16"/>
    <s v="Bridgemont Community &amp; Technical College"/>
    <n v="445674"/>
    <x v="8"/>
    <s v="sem"/>
    <s v="sem"/>
    <m/>
    <m/>
    <n v="8305"/>
    <n v="7862"/>
    <n v="487"/>
    <n v="135"/>
    <n v="8584"/>
    <n v="8669"/>
    <n v="17376"/>
    <n v="579.20000000000005"/>
    <n v="16666"/>
    <n v="555.5333333333333"/>
    <n v="307"/>
    <n v="502"/>
    <n v="17376"/>
    <n v="16666"/>
    <m/>
    <m/>
    <m/>
    <m/>
    <m/>
    <m/>
    <m/>
    <m/>
    <n v="0"/>
    <n v="0"/>
    <n v="0"/>
    <n v="0"/>
    <m/>
    <m/>
    <n v="0"/>
    <n v="0"/>
    <m/>
    <m/>
    <m/>
    <m/>
    <m/>
    <m/>
    <m/>
    <m/>
    <n v="0"/>
    <n v="0"/>
    <n v="0"/>
    <n v="0"/>
    <n v="579.20000000000005"/>
    <n v="555.5333333333333"/>
  </r>
  <r>
    <x v="16"/>
    <s v="Eastern West Virginia Community &amp; Technical College"/>
    <n v="438708"/>
    <x v="8"/>
    <s v="sem"/>
    <s v="sem"/>
    <m/>
    <m/>
    <n v="2507"/>
    <n v="3794"/>
    <n v="379"/>
    <n v="426"/>
    <n v="3618"/>
    <n v="4681"/>
    <n v="6504"/>
    <n v="216.8"/>
    <n v="8901"/>
    <n v="296.7"/>
    <n v="1671"/>
    <n v="1657"/>
    <n v="6504"/>
    <n v="8901"/>
    <m/>
    <m/>
    <m/>
    <m/>
    <m/>
    <m/>
    <m/>
    <m/>
    <n v="0"/>
    <n v="0"/>
    <n v="0"/>
    <n v="0"/>
    <m/>
    <m/>
    <n v="0"/>
    <n v="0"/>
    <m/>
    <m/>
    <m/>
    <m/>
    <m/>
    <m/>
    <m/>
    <m/>
    <n v="0"/>
    <n v="0"/>
    <n v="0"/>
    <n v="0"/>
    <n v="216.8"/>
    <n v="296.7"/>
  </r>
  <r>
    <x v="16"/>
    <s v="Kanawha Valley Community &amp; Technical College"/>
    <n v="445018"/>
    <x v="8"/>
    <s v="sem"/>
    <s v="sem"/>
    <m/>
    <m/>
    <n v="16869"/>
    <n v="18540"/>
    <n v="1990"/>
    <n v="2028"/>
    <n v="19293"/>
    <n v="16906"/>
    <n v="38152"/>
    <n v="1271.7333333333333"/>
    <n v="37474"/>
    <n v="1249.1333333333334"/>
    <n v="262"/>
    <n v="307"/>
    <n v="38152"/>
    <n v="37474"/>
    <m/>
    <m/>
    <m/>
    <m/>
    <m/>
    <m/>
    <m/>
    <m/>
    <n v="0"/>
    <n v="0"/>
    <n v="0"/>
    <n v="0"/>
    <m/>
    <m/>
    <n v="0"/>
    <n v="0"/>
    <m/>
    <m/>
    <m/>
    <m/>
    <m/>
    <m/>
    <m/>
    <m/>
    <n v="0"/>
    <n v="0"/>
    <n v="0"/>
    <n v="0"/>
    <n v="1271.7333333333333"/>
    <n v="1249.1333333333334"/>
  </r>
  <r>
    <x v="16"/>
    <s v="Marshall Community &amp; Technical College"/>
    <n v="444954"/>
    <x v="8"/>
    <s v="sem"/>
    <s v="sem"/>
    <m/>
    <m/>
    <n v="20350"/>
    <n v="22317"/>
    <n v="3305"/>
    <n v="4622"/>
    <n v="24471"/>
    <n v="29081"/>
    <n v="48126"/>
    <n v="1604.2"/>
    <n v="56020"/>
    <n v="1867.3333333333333"/>
    <n v="1275"/>
    <n v="1111"/>
    <n v="48126"/>
    <n v="56020"/>
    <m/>
    <m/>
    <m/>
    <m/>
    <m/>
    <m/>
    <m/>
    <m/>
    <n v="0"/>
    <n v="0"/>
    <n v="0"/>
    <n v="0"/>
    <m/>
    <m/>
    <n v="0"/>
    <n v="0"/>
    <m/>
    <m/>
    <m/>
    <m/>
    <m/>
    <m/>
    <m/>
    <m/>
    <n v="0"/>
    <n v="0"/>
    <n v="0"/>
    <n v="0"/>
    <n v="1604.2"/>
    <n v="1867.3333333333333"/>
  </r>
  <r>
    <x v="16"/>
    <s v="New River Community &amp; Technical College"/>
    <n v="447582"/>
    <x v="8"/>
    <s v="sem"/>
    <s v="sem"/>
    <m/>
    <m/>
    <n v="21361.3"/>
    <n v="24091"/>
    <n v="3134"/>
    <n v="3737"/>
    <n v="22832"/>
    <n v="28915"/>
    <n v="47327.3"/>
    <n v="1577.5766666666668"/>
    <n v="56743"/>
    <n v="1891.4333333333334"/>
    <n v="2765"/>
    <n v="2648"/>
    <n v="47327.3"/>
    <n v="56743"/>
    <m/>
    <m/>
    <m/>
    <m/>
    <m/>
    <m/>
    <m/>
    <m/>
    <n v="0"/>
    <n v="0"/>
    <n v="0"/>
    <n v="0"/>
    <m/>
    <m/>
    <n v="0"/>
    <n v="0"/>
    <m/>
    <m/>
    <m/>
    <m/>
    <m/>
    <m/>
    <m/>
    <m/>
    <n v="0"/>
    <n v="0"/>
    <n v="0"/>
    <n v="0"/>
    <n v="1577.5766666666668"/>
    <n v="1891.4333333333334"/>
  </r>
  <r>
    <x v="16"/>
    <s v="Pierpont Community &amp; Technical College"/>
    <n v="443492"/>
    <x v="8"/>
    <s v="sem"/>
    <s v="sem"/>
    <m/>
    <m/>
    <n v="26131"/>
    <n v="26804"/>
    <n v="2930"/>
    <n v="3058"/>
    <n v="27175"/>
    <n v="29564"/>
    <n v="56236"/>
    <n v="1874.5333333333333"/>
    <n v="59426"/>
    <n v="1980.8666666666666"/>
    <n v="4208"/>
    <n v="4127"/>
    <n v="56236"/>
    <n v="59426"/>
    <m/>
    <m/>
    <m/>
    <m/>
    <m/>
    <m/>
    <m/>
    <m/>
    <n v="0"/>
    <n v="0"/>
    <n v="0"/>
    <n v="0"/>
    <m/>
    <m/>
    <n v="0"/>
    <n v="0"/>
    <m/>
    <m/>
    <m/>
    <m/>
    <m/>
    <m/>
    <m/>
    <m/>
    <n v="0"/>
    <n v="0"/>
    <n v="0"/>
    <n v="0"/>
    <n v="1874.5333333333333"/>
    <n v="1980.8666666666666"/>
  </r>
  <r>
    <x v="16"/>
    <s v="Southern West Virginia Community &amp; Technical College "/>
    <n v="237817"/>
    <x v="8"/>
    <s v="sem"/>
    <s v="sem"/>
    <m/>
    <m/>
    <n v="22742"/>
    <n v="22301"/>
    <n v="1595"/>
    <n v="2112"/>
    <n v="25227"/>
    <n v="26378"/>
    <n v="49564"/>
    <n v="1652.1333333333334"/>
    <n v="50791"/>
    <n v="1693.0333333333333"/>
    <n v="3302"/>
    <n v="3621"/>
    <n v="49564"/>
    <n v="50791"/>
    <m/>
    <m/>
    <m/>
    <m/>
    <m/>
    <m/>
    <m/>
    <m/>
    <n v="0"/>
    <n v="0"/>
    <n v="0"/>
    <n v="0"/>
    <m/>
    <m/>
    <n v="0"/>
    <n v="0"/>
    <m/>
    <m/>
    <m/>
    <m/>
    <m/>
    <m/>
    <m/>
    <m/>
    <n v="0"/>
    <n v="0"/>
    <n v="0"/>
    <n v="0"/>
    <n v="1652.1333333333334"/>
    <n v="1693.0333333333333"/>
  </r>
  <r>
    <x v="16"/>
    <s v="West Virginia Northern Community College"/>
    <n v="238014"/>
    <x v="8"/>
    <s v="sem"/>
    <s v="sem"/>
    <m/>
    <m/>
    <n v="26169.3"/>
    <n v="26953.599999999999"/>
    <n v="5644"/>
    <n v="8053"/>
    <n v="27357.9"/>
    <n v="30947.5"/>
    <n v="59171.199999999997"/>
    <n v="1972.3733333333332"/>
    <n v="65954.100000000006"/>
    <n v="2198.4700000000003"/>
    <n v="4067.3"/>
    <n v="3359.5"/>
    <n v="59171.199999999997"/>
    <n v="65954.100000000006"/>
    <m/>
    <m/>
    <m/>
    <m/>
    <m/>
    <m/>
    <m/>
    <m/>
    <n v="0"/>
    <n v="0"/>
    <n v="0"/>
    <n v="0"/>
    <m/>
    <m/>
    <n v="0"/>
    <n v="0"/>
    <m/>
    <m/>
    <m/>
    <m/>
    <m/>
    <m/>
    <m/>
    <m/>
    <n v="0"/>
    <n v="0"/>
    <n v="0"/>
    <n v="0"/>
    <n v="1972.3733333333332"/>
    <n v="2198.4700000000003"/>
  </r>
</pivotCacheRecords>
</file>

<file path=xl/pivotCache/pivotCacheRecords2.xml><?xml version="1.0" encoding="utf-8"?>
<pivotCacheRecords xmlns="http://schemas.openxmlformats.org/spreadsheetml/2006/main" xmlns:r="http://schemas.openxmlformats.org/officeDocument/2006/relationships" count="726">
  <r>
    <x v="0"/>
    <s v="Auburn University"/>
    <n v="100858"/>
    <x v="0"/>
    <s v="sem"/>
    <m/>
    <m/>
    <m/>
    <n v="246206"/>
    <n v="249991"/>
    <n v="58930"/>
    <n v="57837"/>
    <n v="272230"/>
    <n v="271948"/>
    <n v="577366"/>
    <n v="19245.533333333333"/>
    <n v="579776"/>
    <n v="19325.866666666665"/>
    <m/>
    <m/>
    <n v="0"/>
    <n v="0"/>
    <m/>
    <m/>
    <m/>
    <m/>
    <m/>
    <m/>
    <m/>
    <m/>
    <n v="0"/>
    <n v="0"/>
    <n v="0"/>
    <n v="0"/>
    <m/>
    <m/>
    <n v="0"/>
    <n v="0"/>
  </r>
  <r>
    <x v="0"/>
    <s v="University of Alabama "/>
    <n v="100751"/>
    <x v="0"/>
    <s v="sem"/>
    <m/>
    <m/>
    <m/>
    <n v="269582"/>
    <n v="289905"/>
    <n v="63093"/>
    <n v="61623"/>
    <n v="303425"/>
    <n v="321443"/>
    <n v="636100"/>
    <n v="21203.333333333332"/>
    <n v="672971"/>
    <n v="22432.366666666665"/>
    <m/>
    <m/>
    <n v="0"/>
    <n v="0"/>
    <m/>
    <m/>
    <m/>
    <m/>
    <m/>
    <m/>
    <m/>
    <m/>
    <n v="0"/>
    <n v="0"/>
    <n v="0"/>
    <n v="0"/>
    <m/>
    <m/>
    <n v="0"/>
    <n v="0"/>
  </r>
  <r>
    <x v="0"/>
    <s v="University of Alabama at Birmingham"/>
    <n v="100663"/>
    <x v="0"/>
    <s v="sem"/>
    <m/>
    <m/>
    <m/>
    <n v="106612"/>
    <n v="104786"/>
    <n v="32388"/>
    <n v="30996"/>
    <n v="112683"/>
    <n v="117733"/>
    <n v="251683"/>
    <n v="8389.4333333333325"/>
    <n v="253515"/>
    <n v="8450.5"/>
    <m/>
    <m/>
    <n v="0"/>
    <n v="0"/>
    <m/>
    <m/>
    <m/>
    <m/>
    <m/>
    <m/>
    <m/>
    <m/>
    <n v="0"/>
    <n v="0"/>
    <n v="0"/>
    <n v="0"/>
    <m/>
    <m/>
    <n v="0"/>
    <n v="0"/>
  </r>
  <r>
    <x v="0"/>
    <s v="University of Alabama in Huntsville"/>
    <n v="100706"/>
    <x v="1"/>
    <s v="sem"/>
    <m/>
    <m/>
    <m/>
    <n v="62323"/>
    <n v="66016"/>
    <n v="17644"/>
    <n v="18277"/>
    <n v="69817"/>
    <n v="73595"/>
    <n v="149784"/>
    <n v="4992.8"/>
    <n v="157888"/>
    <n v="5262.9333333333334"/>
    <m/>
    <m/>
    <n v="0"/>
    <n v="0"/>
    <m/>
    <m/>
    <m/>
    <m/>
    <m/>
    <m/>
    <m/>
    <m/>
    <n v="0"/>
    <n v="0"/>
    <n v="0"/>
    <n v="0"/>
    <m/>
    <m/>
    <n v="0"/>
    <n v="0"/>
  </r>
  <r>
    <x v="0"/>
    <s v="Alabama Agricultural &amp; Mechanical University"/>
    <n v="100654"/>
    <x v="2"/>
    <s v="sem"/>
    <m/>
    <m/>
    <m/>
    <n v="61417"/>
    <n v="59779"/>
    <n v="9079"/>
    <n v="10350"/>
    <n v="64735"/>
    <n v="64451"/>
    <n v="135231"/>
    <n v="4507.7"/>
    <n v="134580"/>
    <n v="4486"/>
    <m/>
    <m/>
    <n v="0"/>
    <n v="0"/>
    <m/>
    <m/>
    <m/>
    <m/>
    <m/>
    <m/>
    <m/>
    <m/>
    <n v="0"/>
    <n v="0"/>
    <n v="0"/>
    <n v="0"/>
    <m/>
    <m/>
    <n v="0"/>
    <n v="0"/>
  </r>
  <r>
    <x v="0"/>
    <s v="Jacksonville State University "/>
    <n v="101480"/>
    <x v="2"/>
    <s v="sem"/>
    <m/>
    <m/>
    <m/>
    <n v="86108"/>
    <n v="84956"/>
    <n v="24175"/>
    <n v="23262"/>
    <n v="95212"/>
    <n v="91355"/>
    <n v="205495"/>
    <n v="6849.833333333333"/>
    <n v="199573"/>
    <n v="6652.4333333333334"/>
    <m/>
    <m/>
    <n v="0"/>
    <n v="0"/>
    <m/>
    <m/>
    <m/>
    <m/>
    <m/>
    <m/>
    <m/>
    <m/>
    <n v="0"/>
    <n v="0"/>
    <n v="0"/>
    <n v="0"/>
    <m/>
    <m/>
    <n v="0"/>
    <n v="0"/>
  </r>
  <r>
    <x v="0"/>
    <s v="Troy University"/>
    <n v="102368"/>
    <x v="2"/>
    <s v="sem"/>
    <m/>
    <m/>
    <m/>
    <n v="125365"/>
    <n v="136709"/>
    <n v="35773"/>
    <n v="38293"/>
    <n v="142550"/>
    <n v="156277"/>
    <n v="303688"/>
    <n v="10122.933333333332"/>
    <n v="331279"/>
    <n v="11042.633333333333"/>
    <m/>
    <m/>
    <n v="0"/>
    <n v="0"/>
    <m/>
    <m/>
    <m/>
    <m/>
    <m/>
    <m/>
    <m/>
    <m/>
    <n v="0"/>
    <n v="0"/>
    <n v="0"/>
    <n v="0"/>
    <m/>
    <m/>
    <n v="0"/>
    <n v="0"/>
  </r>
  <r>
    <x v="0"/>
    <s v="University of South Alabama"/>
    <n v="102094"/>
    <x v="2"/>
    <s v="sem"/>
    <m/>
    <m/>
    <m/>
    <n v="107967"/>
    <n v="111866"/>
    <n v="29063"/>
    <n v="27440"/>
    <n v="121086"/>
    <n v="126297"/>
    <n v="258116"/>
    <n v="8603.8666666666668"/>
    <n v="265603"/>
    <n v="8853.4333333333325"/>
    <m/>
    <m/>
    <n v="0"/>
    <n v="0"/>
    <m/>
    <m/>
    <m/>
    <m/>
    <m/>
    <m/>
    <m/>
    <m/>
    <n v="0"/>
    <n v="0"/>
    <n v="0"/>
    <n v="0"/>
    <m/>
    <m/>
    <n v="0"/>
    <n v="0"/>
  </r>
  <r>
    <x v="0"/>
    <s v="Alabama State University "/>
    <n v="100724"/>
    <x v="3"/>
    <s v="sem"/>
    <m/>
    <m/>
    <m/>
    <n v="62082"/>
    <n v="62697"/>
    <n v="13211"/>
    <n v="13237"/>
    <n v="65251"/>
    <n v="66397"/>
    <n v="140544"/>
    <n v="4684.8"/>
    <n v="142331"/>
    <n v="4744.3666666666668"/>
    <m/>
    <m/>
    <n v="0"/>
    <n v="0"/>
    <m/>
    <m/>
    <m/>
    <m/>
    <m/>
    <m/>
    <m/>
    <m/>
    <n v="0"/>
    <n v="0"/>
    <n v="0"/>
    <n v="0"/>
    <m/>
    <m/>
    <n v="0"/>
    <n v="0"/>
  </r>
  <r>
    <x v="0"/>
    <s v="Auburn University at Montgomery"/>
    <n v="100830"/>
    <x v="3"/>
    <s v="sem"/>
    <m/>
    <m/>
    <m/>
    <n v="46131"/>
    <n v="46766"/>
    <n v="16461"/>
    <n v="16243"/>
    <n v="51167"/>
    <n v="54460"/>
    <n v="113759"/>
    <n v="3791.9666666666667"/>
    <n v="117469"/>
    <n v="3915.6333333333332"/>
    <m/>
    <m/>
    <n v="0"/>
    <n v="0"/>
    <m/>
    <m/>
    <m/>
    <m/>
    <m/>
    <m/>
    <m/>
    <m/>
    <n v="0"/>
    <n v="0"/>
    <n v="0"/>
    <n v="0"/>
    <m/>
    <m/>
    <n v="0"/>
    <n v="0"/>
  </r>
  <r>
    <x v="0"/>
    <s v="University of North Alabama"/>
    <n v="101879"/>
    <x v="3"/>
    <s v="sem"/>
    <m/>
    <m/>
    <m/>
    <n v="67070"/>
    <n v="62534"/>
    <n v="13519"/>
    <n v="13569"/>
    <n v="72521"/>
    <n v="77132"/>
    <n v="153110"/>
    <n v="5103.666666666667"/>
    <n v="153235"/>
    <n v="5107.833333333333"/>
    <m/>
    <m/>
    <n v="0"/>
    <n v="0"/>
    <m/>
    <m/>
    <m/>
    <m/>
    <m/>
    <m/>
    <m/>
    <m/>
    <n v="0"/>
    <n v="0"/>
    <n v="0"/>
    <n v="0"/>
    <m/>
    <m/>
    <n v="0"/>
    <n v="0"/>
  </r>
  <r>
    <x v="0"/>
    <s v="University of Montevallo"/>
    <n v="101709"/>
    <x v="4"/>
    <s v="sem"/>
    <m/>
    <m/>
    <m/>
    <n v="30842"/>
    <n v="32174"/>
    <n v="6302"/>
    <n v="6714"/>
    <n v="34234"/>
    <n v="34564"/>
    <n v="71378"/>
    <n v="2379.2666666666669"/>
    <n v="73452"/>
    <n v="2448.4"/>
    <m/>
    <m/>
    <n v="0"/>
    <n v="0"/>
    <m/>
    <m/>
    <m/>
    <m/>
    <m/>
    <m/>
    <m/>
    <m/>
    <n v="0"/>
    <n v="0"/>
    <n v="0"/>
    <n v="0"/>
    <m/>
    <m/>
    <n v="0"/>
    <n v="0"/>
  </r>
  <r>
    <x v="0"/>
    <s v="University of West Alabama"/>
    <n v="101587"/>
    <x v="4"/>
    <s v="sem"/>
    <m/>
    <m/>
    <m/>
    <n v="20971"/>
    <n v="22376"/>
    <n v="5664"/>
    <n v="4931"/>
    <n v="23435"/>
    <n v="24792"/>
    <n v="50070"/>
    <n v="1669"/>
    <n v="52099"/>
    <n v="1736.6333333333334"/>
    <m/>
    <m/>
    <n v="0"/>
    <n v="0"/>
    <m/>
    <m/>
    <m/>
    <m/>
    <m/>
    <m/>
    <m/>
    <m/>
    <n v="0"/>
    <n v="0"/>
    <n v="0"/>
    <n v="0"/>
    <m/>
    <m/>
    <n v="0"/>
    <n v="0"/>
  </r>
  <r>
    <x v="0"/>
    <s v="Athens State University"/>
    <n v="100812"/>
    <x v="5"/>
    <s v="sem"/>
    <m/>
    <m/>
    <m/>
    <n v="28160"/>
    <n v="30160"/>
    <n v="19732"/>
    <n v="20119"/>
    <n v="31799"/>
    <n v="33420"/>
    <n v="79691"/>
    <n v="2656.3666666666668"/>
    <n v="83699"/>
    <n v="2789.9666666666667"/>
    <m/>
    <m/>
    <n v="0"/>
    <n v="0"/>
    <m/>
    <m/>
    <m/>
    <m/>
    <m/>
    <m/>
    <m/>
    <m/>
    <n v="0"/>
    <n v="0"/>
    <n v="0"/>
    <n v="0"/>
    <m/>
    <m/>
    <n v="0"/>
    <n v="0"/>
  </r>
  <r>
    <x v="0"/>
    <s v="Jefferson State Community College"/>
    <n v="101505"/>
    <x v="6"/>
    <s v="sem"/>
    <m/>
    <m/>
    <m/>
    <n v="65302"/>
    <n v="68896"/>
    <n v="34415"/>
    <n v="37319"/>
    <n v="70740"/>
    <n v="72868"/>
    <n v="170457"/>
    <n v="5681.9"/>
    <n v="179083"/>
    <n v="5969.4333333333334"/>
    <m/>
    <m/>
    <n v="0"/>
    <n v="0"/>
    <m/>
    <m/>
    <m/>
    <m/>
    <m/>
    <m/>
    <m/>
    <m/>
    <n v="0"/>
    <n v="0"/>
    <n v="0"/>
    <n v="0"/>
    <m/>
    <m/>
    <n v="0"/>
    <n v="0"/>
  </r>
  <r>
    <x v="0"/>
    <s v="John C. Calhoun State Community College "/>
    <n v="101514"/>
    <x v="6"/>
    <s v="sem"/>
    <m/>
    <m/>
    <m/>
    <n v="80505"/>
    <n v="78829"/>
    <n v="34630"/>
    <n v="39019"/>
    <n v="89719"/>
    <n v="102999"/>
    <n v="204854"/>
    <n v="6828.4666666666662"/>
    <n v="220847"/>
    <n v="7361.5666666666666"/>
    <m/>
    <m/>
    <n v="0"/>
    <n v="0"/>
    <m/>
    <m/>
    <m/>
    <m/>
    <m/>
    <m/>
    <m/>
    <m/>
    <n v="0"/>
    <n v="0"/>
    <n v="0"/>
    <n v="0"/>
    <m/>
    <m/>
    <n v="0"/>
    <n v="0"/>
  </r>
  <r>
    <x v="0"/>
    <s v="Bevill State Community College"/>
    <n v="102429"/>
    <x v="7"/>
    <s v="sem"/>
    <m/>
    <m/>
    <m/>
    <n v="42974"/>
    <n v="41348"/>
    <n v="19778"/>
    <n v="19753"/>
    <n v="43155"/>
    <n v="48671"/>
    <n v="105907"/>
    <n v="3530.2333333333331"/>
    <n v="109772"/>
    <n v="3659.0666666666666"/>
    <m/>
    <m/>
    <n v="0"/>
    <n v="0"/>
    <m/>
    <m/>
    <m/>
    <m/>
    <m/>
    <m/>
    <m/>
    <m/>
    <n v="0"/>
    <n v="0"/>
    <n v="0"/>
    <n v="0"/>
    <m/>
    <m/>
    <n v="0"/>
    <n v="0"/>
  </r>
  <r>
    <x v="0"/>
    <s v="Bishop State Community College"/>
    <n v="102030"/>
    <x v="7"/>
    <s v="sem"/>
    <m/>
    <m/>
    <m/>
    <n v="22251"/>
    <n v="30359"/>
    <n v="8717"/>
    <n v="12997"/>
    <n v="27823"/>
    <n v="32878"/>
    <n v="58791"/>
    <n v="1959.7"/>
    <n v="76234"/>
    <n v="2541.1333333333332"/>
    <m/>
    <m/>
    <n v="0"/>
    <n v="0"/>
    <m/>
    <m/>
    <m/>
    <m/>
    <m/>
    <m/>
    <m/>
    <m/>
    <n v="0"/>
    <n v="0"/>
    <n v="0"/>
    <n v="0"/>
    <m/>
    <m/>
    <n v="0"/>
    <n v="0"/>
  </r>
  <r>
    <x v="0"/>
    <s v="Gadsden State Community College"/>
    <n v="101240"/>
    <x v="7"/>
    <s v="sem"/>
    <m/>
    <m/>
    <m/>
    <n v="53216"/>
    <n v="61528"/>
    <n v="27380"/>
    <n v="32487"/>
    <n v="61052"/>
    <n v="74588"/>
    <n v="141648"/>
    <n v="4721.6000000000004"/>
    <n v="168603"/>
    <n v="5620.1"/>
    <m/>
    <m/>
    <n v="0"/>
    <n v="0"/>
    <m/>
    <m/>
    <m/>
    <m/>
    <m/>
    <m/>
    <m/>
    <m/>
    <n v="0"/>
    <n v="0"/>
    <n v="0"/>
    <n v="0"/>
    <m/>
    <m/>
    <n v="0"/>
    <n v="0"/>
  </r>
  <r>
    <x v="0"/>
    <s v="George C. Wallace State Community College - Dothan"/>
    <n v="101286"/>
    <x v="7"/>
    <s v="sem"/>
    <m/>
    <m/>
    <m/>
    <n v="35225"/>
    <n v="40226"/>
    <n v="21510"/>
    <n v="24555"/>
    <n v="40573"/>
    <n v="48899"/>
    <n v="97308"/>
    <n v="3243.6"/>
    <n v="113680"/>
    <n v="3789.3333333333335"/>
    <m/>
    <m/>
    <n v="0"/>
    <n v="0"/>
    <m/>
    <m/>
    <m/>
    <m/>
    <m/>
    <m/>
    <m/>
    <m/>
    <n v="0"/>
    <n v="0"/>
    <n v="0"/>
    <n v="0"/>
    <m/>
    <m/>
    <n v="0"/>
    <n v="0"/>
  </r>
  <r>
    <x v="0"/>
    <s v="James H. Faulkner State Community College"/>
    <n v="101161"/>
    <x v="7"/>
    <s v="sem"/>
    <m/>
    <m/>
    <m/>
    <n v="37198"/>
    <n v="38630"/>
    <n v="16171"/>
    <n v="18657"/>
    <n v="39679"/>
    <n v="47418"/>
    <n v="93048"/>
    <n v="3101.6"/>
    <n v="104705"/>
    <n v="3490.1666666666665"/>
    <m/>
    <m/>
    <n v="0"/>
    <n v="0"/>
    <m/>
    <m/>
    <m/>
    <m/>
    <m/>
    <m/>
    <m/>
    <m/>
    <n v="0"/>
    <n v="0"/>
    <n v="0"/>
    <n v="0"/>
    <m/>
    <m/>
    <n v="0"/>
    <n v="0"/>
  </r>
  <r>
    <x v="0"/>
    <s v="Lawson State Community College "/>
    <n v="101569"/>
    <x v="7"/>
    <s v="sem"/>
    <m/>
    <m/>
    <m/>
    <n v="31205"/>
    <n v="35942"/>
    <n v="14691"/>
    <n v="16469"/>
    <n v="36591"/>
    <n v="46227"/>
    <n v="82487"/>
    <n v="2749.5666666666666"/>
    <n v="98638"/>
    <n v="3287.9333333333334"/>
    <m/>
    <m/>
    <n v="0"/>
    <n v="0"/>
    <m/>
    <m/>
    <m/>
    <m/>
    <m/>
    <m/>
    <m/>
    <m/>
    <n v="0"/>
    <n v="0"/>
    <n v="0"/>
    <n v="0"/>
    <m/>
    <m/>
    <n v="0"/>
    <n v="0"/>
  </r>
  <r>
    <x v="0"/>
    <s v="Northwest-Shoals Community College"/>
    <n v="101736"/>
    <x v="7"/>
    <s v="sem"/>
    <m/>
    <m/>
    <m/>
    <n v="34598"/>
    <n v="36510"/>
    <n v="13352"/>
    <n v="15544"/>
    <n v="39307"/>
    <n v="45019"/>
    <n v="87257"/>
    <n v="2908.5666666666666"/>
    <n v="97073"/>
    <n v="3235.7666666666669"/>
    <m/>
    <m/>
    <n v="0"/>
    <n v="0"/>
    <m/>
    <m/>
    <m/>
    <m/>
    <m/>
    <m/>
    <m/>
    <m/>
    <n v="0"/>
    <n v="0"/>
    <n v="0"/>
    <n v="0"/>
    <m/>
    <m/>
    <n v="0"/>
    <n v="0"/>
  </r>
  <r>
    <x v="0"/>
    <s v="Shelton State Community College"/>
    <n v="102067"/>
    <x v="7"/>
    <s v="sem"/>
    <m/>
    <m/>
    <m/>
    <n v="48539"/>
    <n v="53851"/>
    <n v="24349"/>
    <n v="27957"/>
    <n v="57506"/>
    <n v="61505"/>
    <n v="130394"/>
    <n v="4346.4666666666662"/>
    <n v="143313"/>
    <n v="4777.1000000000004"/>
    <m/>
    <m/>
    <n v="0"/>
    <n v="0"/>
    <m/>
    <m/>
    <m/>
    <m/>
    <m/>
    <m/>
    <m/>
    <m/>
    <n v="0"/>
    <n v="0"/>
    <n v="0"/>
    <n v="0"/>
    <m/>
    <m/>
    <n v="0"/>
    <n v="0"/>
  </r>
  <r>
    <x v="0"/>
    <s v="Southern Union State Community College"/>
    <n v="251260"/>
    <x v="7"/>
    <s v="sem"/>
    <m/>
    <m/>
    <m/>
    <n v="50763"/>
    <n v="52903"/>
    <n v="23506"/>
    <n v="24881"/>
    <n v="55765"/>
    <n v="56708"/>
    <n v="130034"/>
    <n v="4334.4666666666662"/>
    <n v="134492"/>
    <n v="4483.0666666666666"/>
    <m/>
    <m/>
    <n v="0"/>
    <n v="0"/>
    <m/>
    <m/>
    <m/>
    <m/>
    <m/>
    <m/>
    <m/>
    <m/>
    <n v="0"/>
    <n v="0"/>
    <n v="0"/>
    <n v="0"/>
    <m/>
    <m/>
    <n v="0"/>
    <n v="0"/>
  </r>
  <r>
    <x v="0"/>
    <s v="Wallace Community College - Hanceville"/>
    <n v="101295"/>
    <x v="7"/>
    <s v="sem"/>
    <m/>
    <m/>
    <m/>
    <n v="56083"/>
    <n v="60100"/>
    <n v="25950"/>
    <n v="29288"/>
    <n v="59763"/>
    <n v="67937"/>
    <n v="141796"/>
    <n v="4726.5333333333338"/>
    <n v="157325"/>
    <n v="5244.166666666667"/>
    <m/>
    <m/>
    <n v="0"/>
    <n v="0"/>
    <m/>
    <m/>
    <m/>
    <m/>
    <m/>
    <m/>
    <m/>
    <m/>
    <n v="0"/>
    <n v="0"/>
    <n v="0"/>
    <n v="0"/>
    <m/>
    <m/>
    <n v="0"/>
    <n v="0"/>
  </r>
  <r>
    <x v="0"/>
    <s v="Alabama Southern Community College"/>
    <n v="101949"/>
    <x v="8"/>
    <s v="sem"/>
    <m/>
    <m/>
    <m/>
    <n v="12753"/>
    <n v="13838"/>
    <n v="5880"/>
    <n v="6275"/>
    <n v="14803"/>
    <n v="15998"/>
    <n v="33436"/>
    <n v="1114.5333333333333"/>
    <n v="36111"/>
    <n v="1203.7"/>
    <m/>
    <m/>
    <n v="0"/>
    <n v="0"/>
    <m/>
    <m/>
    <m/>
    <m/>
    <m/>
    <m/>
    <m/>
    <m/>
    <n v="0"/>
    <n v="0"/>
    <n v="0"/>
    <n v="0"/>
    <m/>
    <m/>
    <n v="0"/>
    <n v="0"/>
  </r>
  <r>
    <x v="0"/>
    <s v="Central Alabama Community College"/>
    <n v="100760"/>
    <x v="8"/>
    <s v="sem"/>
    <m/>
    <m/>
    <m/>
    <n v="22591"/>
    <n v="23238"/>
    <n v="10852"/>
    <n v="12159"/>
    <n v="23790"/>
    <n v="26435"/>
    <n v="57233"/>
    <n v="1907.7666666666667"/>
    <n v="61832"/>
    <n v="2061.0666666666666"/>
    <m/>
    <m/>
    <n v="0"/>
    <n v="0"/>
    <m/>
    <m/>
    <m/>
    <m/>
    <m/>
    <m/>
    <m/>
    <m/>
    <n v="0"/>
    <n v="0"/>
    <n v="0"/>
    <n v="0"/>
    <m/>
    <m/>
    <n v="0"/>
    <n v="0"/>
  </r>
  <r>
    <x v="0"/>
    <s v="Chattahoochee Valley State Community College "/>
    <n v="101028"/>
    <x v="8"/>
    <s v="sem"/>
    <m/>
    <m/>
    <m/>
    <n v="16915"/>
    <n v="19048"/>
    <n v="7416"/>
    <n v="8551"/>
    <n v="18628"/>
    <n v="18470"/>
    <n v="42959"/>
    <n v="1431.9666666666667"/>
    <n v="46069"/>
    <n v="1535.6333333333334"/>
    <m/>
    <m/>
    <n v="0"/>
    <n v="0"/>
    <m/>
    <m/>
    <m/>
    <m/>
    <m/>
    <m/>
    <m/>
    <m/>
    <n v="0"/>
    <n v="0"/>
    <n v="0"/>
    <n v="0"/>
    <m/>
    <m/>
    <n v="0"/>
    <n v="0"/>
  </r>
  <r>
    <x v="0"/>
    <s v="Enterprise-Ozark Community College"/>
    <n v="101143"/>
    <x v="8"/>
    <s v="sem"/>
    <m/>
    <m/>
    <m/>
    <n v="22691"/>
    <n v="25837"/>
    <n v="11692"/>
    <n v="14720"/>
    <n v="25571"/>
    <n v="32209"/>
    <n v="59954"/>
    <n v="1998.4666666666667"/>
    <n v="72766"/>
    <n v="2425.5333333333333"/>
    <m/>
    <m/>
    <n v="0"/>
    <n v="0"/>
    <m/>
    <m/>
    <m/>
    <m/>
    <m/>
    <m/>
    <m/>
    <m/>
    <n v="0"/>
    <n v="0"/>
    <n v="0"/>
    <n v="0"/>
    <m/>
    <m/>
    <n v="0"/>
    <n v="0"/>
  </r>
  <r>
    <x v="0"/>
    <s v="George Corley Wallace State Community College - Selma"/>
    <n v="101301"/>
    <x v="8"/>
    <s v="sem"/>
    <m/>
    <m/>
    <m/>
    <n v="19041"/>
    <n v="18982"/>
    <n v="13452"/>
    <n v="11621"/>
    <n v="20020"/>
    <n v="21374"/>
    <n v="52513"/>
    <n v="1750.4333333333334"/>
    <n v="51977"/>
    <n v="1732.5666666666666"/>
    <m/>
    <m/>
    <n v="0"/>
    <n v="0"/>
    <m/>
    <m/>
    <m/>
    <m/>
    <m/>
    <m/>
    <m/>
    <m/>
    <n v="0"/>
    <n v="0"/>
    <n v="0"/>
    <n v="0"/>
    <m/>
    <m/>
    <n v="0"/>
    <n v="0"/>
  </r>
  <r>
    <x v="0"/>
    <s v="Jefferson Davis Community College"/>
    <n v="101499"/>
    <x v="8"/>
    <s v="sem"/>
    <m/>
    <m/>
    <m/>
    <n v="12452"/>
    <n v="12674"/>
    <n v="6323"/>
    <n v="6068"/>
    <n v="12551"/>
    <n v="14497"/>
    <n v="31326"/>
    <n v="1044.2"/>
    <n v="33239"/>
    <n v="1107.9666666666667"/>
    <m/>
    <m/>
    <n v="0"/>
    <n v="0"/>
    <m/>
    <m/>
    <m/>
    <m/>
    <m/>
    <m/>
    <m/>
    <m/>
    <n v="0"/>
    <n v="0"/>
    <n v="0"/>
    <n v="0"/>
    <m/>
    <m/>
    <n v="0"/>
    <n v="0"/>
  </r>
  <r>
    <x v="0"/>
    <s v="Lurleen B. Wallace Community College "/>
    <n v="101602"/>
    <x v="8"/>
    <s v="sem"/>
    <m/>
    <m/>
    <m/>
    <n v="16301"/>
    <n v="16921"/>
    <n v="8088"/>
    <n v="9369"/>
    <n v="17684"/>
    <n v="19259"/>
    <n v="42073"/>
    <n v="1402.4333333333334"/>
    <n v="45549"/>
    <n v="1518.3"/>
    <m/>
    <m/>
    <n v="0"/>
    <n v="0"/>
    <m/>
    <m/>
    <m/>
    <m/>
    <m/>
    <m/>
    <m/>
    <m/>
    <n v="0"/>
    <n v="0"/>
    <n v="0"/>
    <n v="0"/>
    <m/>
    <m/>
    <n v="0"/>
    <n v="0"/>
  </r>
  <r>
    <x v="0"/>
    <s v="Northeast Alabama State Community College "/>
    <n v="101897"/>
    <x v="8"/>
    <s v="sem"/>
    <m/>
    <m/>
    <m/>
    <n v="23798"/>
    <n v="27989"/>
    <n v="10566"/>
    <n v="13708"/>
    <n v="28468"/>
    <n v="35348"/>
    <n v="62832"/>
    <n v="2094.4"/>
    <n v="77045"/>
    <n v="2568.1666666666665"/>
    <m/>
    <m/>
    <n v="0"/>
    <n v="0"/>
    <m/>
    <m/>
    <m/>
    <m/>
    <m/>
    <m/>
    <m/>
    <m/>
    <n v="0"/>
    <n v="0"/>
    <n v="0"/>
    <n v="0"/>
    <m/>
    <m/>
    <n v="0"/>
    <n v="0"/>
  </r>
  <r>
    <x v="0"/>
    <s v="Snead State Community College "/>
    <n v="102076"/>
    <x v="8"/>
    <s v="sem"/>
    <m/>
    <m/>
    <m/>
    <n v="21524"/>
    <n v="22791"/>
    <n v="8752"/>
    <n v="8777"/>
    <n v="23414"/>
    <n v="26541"/>
    <n v="53690"/>
    <n v="1789.6666666666667"/>
    <n v="58109"/>
    <n v="1936.9666666666667"/>
    <m/>
    <m/>
    <n v="0"/>
    <n v="0"/>
    <m/>
    <m/>
    <m/>
    <m/>
    <m/>
    <m/>
    <m/>
    <m/>
    <n v="0"/>
    <n v="0"/>
    <n v="0"/>
    <n v="0"/>
    <m/>
    <m/>
    <n v="0"/>
    <n v="0"/>
  </r>
  <r>
    <x v="0"/>
    <s v="Trenholm State Technical College "/>
    <n v="102313"/>
    <x v="9"/>
    <s v="sem"/>
    <m/>
    <m/>
    <m/>
    <n v="13051"/>
    <n v="14984"/>
    <n v="9703"/>
    <n v="11007"/>
    <n v="14004"/>
    <n v="18028"/>
    <n v="36758"/>
    <n v="1225.2666666666667"/>
    <n v="44019"/>
    <n v="1467.3"/>
    <m/>
    <m/>
    <n v="0"/>
    <n v="0"/>
    <m/>
    <m/>
    <m/>
    <m/>
    <m/>
    <m/>
    <m/>
    <m/>
    <n v="0"/>
    <n v="0"/>
    <n v="0"/>
    <n v="0"/>
    <m/>
    <m/>
    <n v="0"/>
    <n v="0"/>
  </r>
  <r>
    <x v="0"/>
    <s v="J.F. Drake State Technical College "/>
    <n v="101462"/>
    <x v="10"/>
    <s v="sem"/>
    <m/>
    <m/>
    <m/>
    <n v="6902"/>
    <n v="9859"/>
    <n v="3944"/>
    <n v="5787"/>
    <n v="8662"/>
    <n v="13301"/>
    <n v="19508"/>
    <n v="650.26666666666665"/>
    <n v="28947"/>
    <n v="964.9"/>
    <m/>
    <m/>
    <n v="0"/>
    <n v="0"/>
    <m/>
    <m/>
    <m/>
    <m/>
    <m/>
    <m/>
    <m/>
    <m/>
    <n v="0"/>
    <n v="0"/>
    <n v="0"/>
    <n v="0"/>
    <m/>
    <m/>
    <n v="0"/>
    <n v="0"/>
  </r>
  <r>
    <x v="0"/>
    <s v="J.F. Ingram State Technical College "/>
    <n v="101471"/>
    <x v="10"/>
    <s v="sem"/>
    <m/>
    <m/>
    <m/>
    <n v="6994"/>
    <n v="8605"/>
    <n v="6866"/>
    <n v="7103"/>
    <n v="7565"/>
    <n v="7532"/>
    <n v="21425"/>
    <n v="714.16666666666663"/>
    <n v="23240"/>
    <n v="774.66666666666663"/>
    <m/>
    <m/>
    <n v="0"/>
    <n v="0"/>
    <m/>
    <m/>
    <m/>
    <m/>
    <m/>
    <m/>
    <m/>
    <m/>
    <n v="0"/>
    <n v="0"/>
    <n v="0"/>
    <n v="0"/>
    <m/>
    <m/>
    <n v="0"/>
    <n v="0"/>
  </r>
  <r>
    <x v="0"/>
    <s v="Reid State Technical College "/>
    <n v="101994"/>
    <x v="10"/>
    <s v="sem"/>
    <m/>
    <m/>
    <m/>
    <n v="5274"/>
    <n v="6492"/>
    <n v="3811"/>
    <n v="5056"/>
    <n v="6547"/>
    <n v="8737"/>
    <n v="15632"/>
    <n v="521.06666666666672"/>
    <n v="20285"/>
    <n v="676.16666666666663"/>
    <m/>
    <m/>
    <n v="0"/>
    <n v="0"/>
    <m/>
    <m/>
    <m/>
    <m/>
    <m/>
    <m/>
    <m/>
    <m/>
    <n v="0"/>
    <n v="0"/>
    <n v="0"/>
    <n v="0"/>
    <m/>
    <m/>
    <n v="0"/>
    <n v="0"/>
  </r>
  <r>
    <x v="1"/>
    <s v="University of Arkansas, Fayetteville"/>
    <n v="106397"/>
    <x v="0"/>
    <s v="sem"/>
    <m/>
    <m/>
    <m/>
    <n v="185896"/>
    <n v="191161"/>
    <n v="34584"/>
    <n v="35106"/>
    <n v="207970"/>
    <n v="214630"/>
    <n v="428450"/>
    <n v="14281.666666666666"/>
    <n v="440897"/>
    <n v="14696.566666666668"/>
    <n v="101"/>
    <n v="99"/>
    <n v="428450"/>
    <n v="440897"/>
    <m/>
    <m/>
    <m/>
    <m/>
    <m/>
    <m/>
    <m/>
    <m/>
    <n v="0"/>
    <n v="0"/>
    <n v="0"/>
    <n v="0"/>
    <m/>
    <m/>
    <n v="0"/>
    <n v="0"/>
  </r>
  <r>
    <x v="1"/>
    <s v="Arkansas State University"/>
    <n v="106458"/>
    <x v="2"/>
    <s v="sem"/>
    <m/>
    <m/>
    <m/>
    <n v="115710"/>
    <n v="115650"/>
    <n v="20573"/>
    <n v="21136"/>
    <n v="123547"/>
    <n v="124908"/>
    <n v="259830"/>
    <n v="8661"/>
    <n v="261694"/>
    <n v="8723.1333333333332"/>
    <n v="3632"/>
    <n v="3196"/>
    <n v="259830"/>
    <n v="261694"/>
    <m/>
    <m/>
    <m/>
    <m/>
    <m/>
    <m/>
    <m/>
    <m/>
    <n v="0"/>
    <n v="0"/>
    <n v="0"/>
    <n v="0"/>
    <m/>
    <m/>
    <n v="0"/>
    <n v="0"/>
  </r>
  <r>
    <x v="1"/>
    <s v="University of Arkansas at Little Rock"/>
    <n v="106245"/>
    <x v="2"/>
    <s v="sem"/>
    <m/>
    <m/>
    <m/>
    <n v="93281"/>
    <n v="94900"/>
    <n v="21520"/>
    <n v="23637"/>
    <n v="98346"/>
    <n v="106088"/>
    <n v="213147"/>
    <n v="7104.9"/>
    <n v="224625"/>
    <n v="7487.5"/>
    <n v="6221"/>
    <n v="8869"/>
    <n v="213147"/>
    <n v="224625"/>
    <m/>
    <m/>
    <m/>
    <m/>
    <m/>
    <m/>
    <m/>
    <m/>
    <n v="0"/>
    <n v="0"/>
    <n v="0"/>
    <n v="0"/>
    <m/>
    <m/>
    <n v="0"/>
    <n v="0"/>
  </r>
  <r>
    <x v="1"/>
    <s v="University of Central Arkansas "/>
    <n v="106704"/>
    <x v="2"/>
    <s v="sem"/>
    <m/>
    <m/>
    <m/>
    <n v="131445"/>
    <n v="133949"/>
    <n v="18673"/>
    <n v="18149"/>
    <n v="145326"/>
    <n v="135901"/>
    <n v="295444"/>
    <n v="9848.1333333333332"/>
    <n v="287999"/>
    <n v="9599.9666666666672"/>
    <n v="9740"/>
    <n v="9580"/>
    <n v="295444"/>
    <n v="287999"/>
    <m/>
    <m/>
    <m/>
    <m/>
    <m/>
    <m/>
    <m/>
    <m/>
    <n v="0"/>
    <n v="0"/>
    <n v="0"/>
    <n v="0"/>
    <m/>
    <m/>
    <n v="0"/>
    <n v="0"/>
  </r>
  <r>
    <x v="1"/>
    <s v="Arkansas Tech University"/>
    <n v="106467"/>
    <x v="3"/>
    <s v="sem"/>
    <m/>
    <m/>
    <m/>
    <n v="84096"/>
    <n v="79670"/>
    <n v="14102"/>
    <n v="14049"/>
    <n v="93317"/>
    <n v="94964"/>
    <n v="191515"/>
    <n v="6383.833333333333"/>
    <n v="188683"/>
    <n v="6289.4333333333334"/>
    <n v="2544"/>
    <n v="3934"/>
    <n v="191515"/>
    <n v="188683"/>
    <m/>
    <m/>
    <m/>
    <m/>
    <m/>
    <m/>
    <m/>
    <m/>
    <n v="0"/>
    <n v="0"/>
    <n v="0"/>
    <n v="0"/>
    <m/>
    <m/>
    <n v="0"/>
    <n v="0"/>
  </r>
  <r>
    <x v="1"/>
    <s v="Henderson State University"/>
    <n v="107071"/>
    <x v="3"/>
    <s v="sem"/>
    <m/>
    <m/>
    <m/>
    <n v="39598"/>
    <n v="38649"/>
    <n v="5788"/>
    <n v="5304"/>
    <n v="43165"/>
    <n v="43102"/>
    <n v="88551"/>
    <n v="2951.7"/>
    <n v="87055"/>
    <n v="2901.8333333333335"/>
    <n v="119"/>
    <n v="129"/>
    <n v="88551"/>
    <n v="87055"/>
    <m/>
    <m/>
    <m/>
    <m/>
    <m/>
    <m/>
    <m/>
    <m/>
    <n v="0"/>
    <n v="0"/>
    <n v="0"/>
    <n v="0"/>
    <m/>
    <m/>
    <n v="0"/>
    <n v="0"/>
  </r>
  <r>
    <x v="1"/>
    <s v="Southern Arkansas University"/>
    <n v="107983"/>
    <x v="4"/>
    <s v="sem"/>
    <m/>
    <m/>
    <m/>
    <n v="34412"/>
    <n v="33220"/>
    <n v="4183"/>
    <n v="4607"/>
    <n v="36735"/>
    <n v="38244"/>
    <n v="75330"/>
    <n v="2511"/>
    <n v="76071"/>
    <n v="2535.6999999999998"/>
    <n v="606"/>
    <n v="517"/>
    <n v="75330"/>
    <n v="76071"/>
    <m/>
    <m/>
    <m/>
    <m/>
    <m/>
    <m/>
    <m/>
    <m/>
    <n v="0"/>
    <n v="0"/>
    <n v="0"/>
    <n v="0"/>
    <m/>
    <m/>
    <n v="0"/>
    <n v="0"/>
  </r>
  <r>
    <x v="1"/>
    <s v="University of Arkansas at Monticello"/>
    <n v="106485"/>
    <x v="4"/>
    <s v="sem"/>
    <m/>
    <m/>
    <m/>
    <n v="34789"/>
    <n v="29117"/>
    <n v="7289"/>
    <n v="6127"/>
    <n v="37200"/>
    <n v="32328"/>
    <n v="79278"/>
    <n v="2642.6"/>
    <n v="67572"/>
    <n v="2252.4"/>
    <n v="3573"/>
    <n v="3409"/>
    <n v="79278"/>
    <n v="67572"/>
    <m/>
    <m/>
    <m/>
    <m/>
    <m/>
    <m/>
    <m/>
    <m/>
    <n v="0"/>
    <n v="0"/>
    <n v="0"/>
    <n v="0"/>
    <m/>
    <m/>
    <n v="0"/>
    <n v="0"/>
  </r>
  <r>
    <x v="1"/>
    <s v="University of Arkansas at Fort Smith"/>
    <n v="108092"/>
    <x v="5"/>
    <s v="sem"/>
    <m/>
    <m/>
    <m/>
    <n v="68327"/>
    <n v="72303"/>
    <n v="15854"/>
    <n v="16982"/>
    <n v="77193"/>
    <n v="85074"/>
    <n v="161374"/>
    <n v="5379.1333333333332"/>
    <n v="174359"/>
    <n v="5811.9666666666662"/>
    <n v="7284"/>
    <n v="7681"/>
    <n v="161374"/>
    <n v="174359"/>
    <m/>
    <m/>
    <m/>
    <m/>
    <m/>
    <m/>
    <m/>
    <m/>
    <n v="0"/>
    <n v="0"/>
    <n v="0"/>
    <n v="0"/>
    <m/>
    <m/>
    <n v="0"/>
    <n v="0"/>
  </r>
  <r>
    <x v="1"/>
    <s v="University of Arkansas at Pine Bluff"/>
    <n v="106412"/>
    <x v="5"/>
    <s v="sem"/>
    <m/>
    <m/>
    <m/>
    <n v="37374"/>
    <n v="41852"/>
    <n v="5993"/>
    <n v="6578"/>
    <n v="46476"/>
    <n v="50684"/>
    <n v="89843"/>
    <n v="2994.7666666666669"/>
    <n v="99114"/>
    <n v="3303.8"/>
    <n v="48"/>
    <n v="27"/>
    <n v="89843"/>
    <n v="99114"/>
    <m/>
    <m/>
    <m/>
    <m/>
    <m/>
    <m/>
    <m/>
    <m/>
    <n v="0"/>
    <n v="0"/>
    <n v="0"/>
    <n v="0"/>
    <m/>
    <m/>
    <n v="0"/>
    <n v="0"/>
  </r>
  <r>
    <x v="1"/>
    <s v="Pulaski Technical College"/>
    <n v="107664"/>
    <x v="6"/>
    <s v="sem"/>
    <m/>
    <m/>
    <m/>
    <n v="85052"/>
    <n v="93788"/>
    <n v="18015"/>
    <n v="17842"/>
    <n v="87168"/>
    <n v="100767"/>
    <n v="190235"/>
    <n v="6341.166666666667"/>
    <n v="212397"/>
    <n v="7079.9"/>
    <n v="3025"/>
    <n v="3173"/>
    <n v="190235"/>
    <n v="212397"/>
    <m/>
    <m/>
    <m/>
    <m/>
    <m/>
    <m/>
    <m/>
    <m/>
    <n v="0"/>
    <n v="0"/>
    <n v="0"/>
    <n v="0"/>
    <m/>
    <m/>
    <n v="0"/>
    <n v="0"/>
  </r>
  <r>
    <x v="1"/>
    <s v="Arkansas State University-Beebe"/>
    <n v="106449"/>
    <x v="7"/>
    <s v="sem"/>
    <m/>
    <m/>
    <m/>
    <n v="41921"/>
    <n v="42023"/>
    <n v="11003"/>
    <n v="10576"/>
    <n v="45614"/>
    <n v="48398"/>
    <n v="98538"/>
    <n v="3284.6"/>
    <n v="100997"/>
    <n v="3366.5666666666666"/>
    <n v="6630"/>
    <n v="6138"/>
    <n v="98538"/>
    <n v="100997"/>
    <m/>
    <m/>
    <m/>
    <m/>
    <m/>
    <m/>
    <m/>
    <m/>
    <n v="0"/>
    <n v="0"/>
    <n v="0"/>
    <n v="0"/>
    <m/>
    <m/>
    <n v="0"/>
    <n v="0"/>
  </r>
  <r>
    <x v="1"/>
    <s v="Northwest Arkansas Community College "/>
    <n v="367459"/>
    <x v="7"/>
    <s v="sem"/>
    <m/>
    <m/>
    <m/>
    <n v="56212"/>
    <n v="63519"/>
    <n v="13549"/>
    <n v="16389"/>
    <n v="63246"/>
    <n v="73459"/>
    <n v="133007"/>
    <n v="4433.5666666666666"/>
    <n v="153367"/>
    <n v="5112.2333333333336"/>
    <n v="6288"/>
    <n v="6444"/>
    <n v="133007"/>
    <n v="153367"/>
    <m/>
    <m/>
    <m/>
    <m/>
    <m/>
    <m/>
    <m/>
    <m/>
    <n v="0"/>
    <n v="0"/>
    <n v="0"/>
    <n v="0"/>
    <m/>
    <m/>
    <n v="0"/>
    <n v="0"/>
  </r>
  <r>
    <x v="1"/>
    <s v="Arkansas Northeastern College"/>
    <n v="107327"/>
    <x v="8"/>
    <s v="sem"/>
    <m/>
    <m/>
    <m/>
    <n v="14895"/>
    <n v="17487"/>
    <n v="3839"/>
    <n v="5308"/>
    <n v="17242"/>
    <n v="19934"/>
    <n v="35976"/>
    <n v="1199.2"/>
    <n v="42729"/>
    <n v="1424.3"/>
    <n v="1801"/>
    <n v="1862"/>
    <n v="35976"/>
    <n v="42729"/>
    <m/>
    <m/>
    <m/>
    <m/>
    <m/>
    <m/>
    <m/>
    <m/>
    <n v="0"/>
    <n v="0"/>
    <n v="0"/>
    <n v="0"/>
    <m/>
    <m/>
    <n v="0"/>
    <n v="0"/>
  </r>
  <r>
    <x v="1"/>
    <s v="Arkansas State University Mountain Home"/>
    <n v="420538"/>
    <x v="8"/>
    <s v="sem"/>
    <m/>
    <m/>
    <m/>
    <n v="11855"/>
    <n v="12866"/>
    <n v="2856"/>
    <n v="2844"/>
    <n v="13187"/>
    <n v="16414"/>
    <n v="27898"/>
    <n v="929.93333333333328"/>
    <n v="32124"/>
    <n v="1070.8"/>
    <n v="778"/>
    <n v="683"/>
    <n v="27898"/>
    <n v="32124"/>
    <m/>
    <m/>
    <m/>
    <m/>
    <m/>
    <m/>
    <m/>
    <m/>
    <n v="0"/>
    <n v="0"/>
    <n v="0"/>
    <n v="0"/>
    <m/>
    <m/>
    <n v="0"/>
    <n v="0"/>
  </r>
  <r>
    <x v="1"/>
    <s v="Arkansas State University-Newport"/>
    <n v="440402"/>
    <x v="8"/>
    <s v="sem"/>
    <m/>
    <m/>
    <m/>
    <n v="10644"/>
    <n v="16020"/>
    <n v="5542"/>
    <n v="5909"/>
    <n v="16416"/>
    <n v="19125"/>
    <n v="32602"/>
    <n v="1086.7333333333333"/>
    <n v="41054"/>
    <n v="1368.4666666666667"/>
    <n v="3336"/>
    <n v="5690"/>
    <n v="32602"/>
    <n v="41054"/>
    <m/>
    <m/>
    <m/>
    <m/>
    <m/>
    <m/>
    <m/>
    <m/>
    <n v="0"/>
    <n v="0"/>
    <n v="0"/>
    <n v="0"/>
    <m/>
    <m/>
    <n v="0"/>
    <n v="0"/>
  </r>
  <r>
    <x v="1"/>
    <s v="Black River Technical College"/>
    <n v="106625"/>
    <x v="8"/>
    <s v="sem"/>
    <m/>
    <m/>
    <m/>
    <n v="21310"/>
    <n v="21229"/>
    <n v="5452"/>
    <n v="4799"/>
    <n v="21251"/>
    <n v="25166"/>
    <n v="48013"/>
    <n v="1600.4333333333334"/>
    <n v="51194"/>
    <n v="1706.4666666666667"/>
    <n v="1295"/>
    <n v="1656"/>
    <n v="48013"/>
    <n v="51194"/>
    <m/>
    <m/>
    <m/>
    <m/>
    <m/>
    <m/>
    <m/>
    <m/>
    <n v="0"/>
    <n v="0"/>
    <n v="0"/>
    <n v="0"/>
    <m/>
    <m/>
    <n v="0"/>
    <n v="0"/>
  </r>
  <r>
    <x v="1"/>
    <s v="Cossatot Community College of the University of Arkansas"/>
    <n v="106795"/>
    <x v="8"/>
    <s v="sem"/>
    <m/>
    <m/>
    <m/>
    <n v="11464"/>
    <n v="11411"/>
    <n v="3464"/>
    <n v="3337"/>
    <n v="12067"/>
    <n v="12661"/>
    <n v="26995"/>
    <n v="899.83333333333337"/>
    <n v="27409"/>
    <n v="913.63333333333333"/>
    <n v="2680"/>
    <n v="2925"/>
    <n v="26995"/>
    <n v="27409"/>
    <m/>
    <m/>
    <m/>
    <m/>
    <m/>
    <m/>
    <m/>
    <m/>
    <n v="0"/>
    <n v="0"/>
    <n v="0"/>
    <n v="0"/>
    <m/>
    <m/>
    <n v="0"/>
    <n v="0"/>
  </r>
  <r>
    <x v="1"/>
    <s v="East Arkansas Community College "/>
    <n v="106883"/>
    <x v="8"/>
    <s v="sem"/>
    <m/>
    <m/>
    <m/>
    <n v="13859"/>
    <n v="13021"/>
    <n v="4137"/>
    <n v="3711"/>
    <n v="14072"/>
    <n v="15032"/>
    <n v="32068"/>
    <n v="1068.9333333333334"/>
    <n v="31764"/>
    <n v="1058.8"/>
    <n v="1812"/>
    <n v="1214"/>
    <n v="32068"/>
    <n v="31764"/>
    <m/>
    <m/>
    <m/>
    <m/>
    <m/>
    <m/>
    <m/>
    <m/>
    <n v="0"/>
    <n v="0"/>
    <n v="0"/>
    <n v="0"/>
    <m/>
    <m/>
    <n v="0"/>
    <n v="0"/>
  </r>
  <r>
    <x v="1"/>
    <s v="Mid-South Community College "/>
    <n v="107318"/>
    <x v="8"/>
    <s v="sem"/>
    <m/>
    <m/>
    <m/>
    <n v="11770"/>
    <n v="13833"/>
    <n v="3119"/>
    <n v="3998"/>
    <n v="14077"/>
    <n v="18817"/>
    <n v="28966"/>
    <n v="965.5333333333333"/>
    <n v="36648"/>
    <n v="1221.5999999999999"/>
    <n v="3457"/>
    <n v="3660"/>
    <n v="28966"/>
    <n v="36648"/>
    <m/>
    <m/>
    <m/>
    <m/>
    <m/>
    <m/>
    <m/>
    <m/>
    <n v="0"/>
    <n v="0"/>
    <n v="0"/>
    <n v="0"/>
    <m/>
    <m/>
    <n v="0"/>
    <n v="0"/>
  </r>
  <r>
    <x v="1"/>
    <s v="National Park Community College"/>
    <n v="106980"/>
    <x v="8"/>
    <s v="sem"/>
    <m/>
    <m/>
    <m/>
    <n v="26175"/>
    <n v="30144"/>
    <n v="6144"/>
    <n v="6424"/>
    <n v="31690"/>
    <n v="34829"/>
    <n v="64009"/>
    <n v="2133.6333333333332"/>
    <n v="71397"/>
    <n v="2379.9"/>
    <n v="5237"/>
    <n v="3645"/>
    <n v="64009"/>
    <n v="71397"/>
    <m/>
    <m/>
    <m/>
    <m/>
    <m/>
    <m/>
    <m/>
    <m/>
    <n v="0"/>
    <n v="0"/>
    <n v="0"/>
    <n v="0"/>
    <m/>
    <m/>
    <n v="0"/>
    <n v="0"/>
  </r>
  <r>
    <x v="1"/>
    <s v="North Arkansas College"/>
    <n v="107460"/>
    <x v="8"/>
    <s v="sem"/>
    <m/>
    <m/>
    <m/>
    <n v="21363"/>
    <n v="22646"/>
    <n v="2608"/>
    <n v="3425"/>
    <n v="23654"/>
    <n v="27299"/>
    <n v="47625"/>
    <n v="1587.5"/>
    <n v="53370"/>
    <n v="1779"/>
    <n v="3049"/>
    <n v="2268"/>
    <n v="47625"/>
    <n v="53370"/>
    <m/>
    <m/>
    <m/>
    <m/>
    <m/>
    <m/>
    <m/>
    <m/>
    <n v="0"/>
    <n v="0"/>
    <n v="0"/>
    <n v="0"/>
    <m/>
    <m/>
    <n v="0"/>
    <n v="0"/>
  </r>
  <r>
    <x v="1"/>
    <s v="Ouachita Technical College "/>
    <n v="107521"/>
    <x v="8"/>
    <s v="sem"/>
    <m/>
    <m/>
    <m/>
    <n v="11749"/>
    <n v="12191"/>
    <n v="2766"/>
    <n v="2963"/>
    <n v="12517"/>
    <n v="13365"/>
    <n v="27032"/>
    <n v="901.06666666666672"/>
    <n v="28519"/>
    <n v="950.63333333333333"/>
    <n v="4307"/>
    <n v="4589"/>
    <n v="27032"/>
    <n v="28519"/>
    <m/>
    <m/>
    <m/>
    <m/>
    <m/>
    <m/>
    <m/>
    <m/>
    <n v="0"/>
    <n v="0"/>
    <n v="0"/>
    <n v="0"/>
    <m/>
    <m/>
    <n v="0"/>
    <n v="0"/>
  </r>
  <r>
    <x v="1"/>
    <s v="Ozarka College "/>
    <n v="107549"/>
    <x v="8"/>
    <s v="sem"/>
    <m/>
    <m/>
    <m/>
    <n v="11927"/>
    <n v="12768"/>
    <n v="2216"/>
    <n v="2260"/>
    <n v="12745"/>
    <n v="13701"/>
    <n v="26888"/>
    <n v="896.26666666666665"/>
    <n v="28729"/>
    <n v="957.63333333333333"/>
    <n v="1376"/>
    <n v="1469"/>
    <n v="26888"/>
    <n v="28729"/>
    <m/>
    <m/>
    <m/>
    <m/>
    <m/>
    <m/>
    <m/>
    <m/>
    <n v="0"/>
    <n v="0"/>
    <n v="0"/>
    <n v="0"/>
    <m/>
    <m/>
    <n v="0"/>
    <n v="0"/>
  </r>
  <r>
    <x v="1"/>
    <s v="Phillips Community College of the Univ of Arkansas"/>
    <n v="107619"/>
    <x v="8"/>
    <s v="sem"/>
    <m/>
    <m/>
    <m/>
    <n v="17293"/>
    <n v="17514"/>
    <n v="3290"/>
    <n v="2998"/>
    <n v="19483"/>
    <n v="20403"/>
    <n v="40066"/>
    <n v="1335.5333333333333"/>
    <n v="40915"/>
    <n v="1363.8333333333333"/>
    <n v="7292"/>
    <n v="6526"/>
    <n v="40066"/>
    <n v="40915"/>
    <m/>
    <m/>
    <m/>
    <m/>
    <m/>
    <m/>
    <m/>
    <m/>
    <n v="0"/>
    <n v="0"/>
    <n v="0"/>
    <n v="0"/>
    <m/>
    <m/>
    <n v="0"/>
    <n v="0"/>
  </r>
  <r>
    <x v="1"/>
    <s v="Rich Mountain Community College "/>
    <n v="107743"/>
    <x v="8"/>
    <s v="sem"/>
    <m/>
    <m/>
    <m/>
    <n v="7724"/>
    <n v="8069"/>
    <n v="1344"/>
    <n v="1235"/>
    <n v="8444"/>
    <n v="9771"/>
    <n v="17512"/>
    <n v="583.73333333333335"/>
    <n v="19075"/>
    <n v="635.83333333333337"/>
    <n v="2356"/>
    <n v="2505"/>
    <n v="17512"/>
    <n v="19075"/>
    <m/>
    <m/>
    <m/>
    <m/>
    <m/>
    <m/>
    <m/>
    <m/>
    <n v="0"/>
    <n v="0"/>
    <n v="0"/>
    <n v="0"/>
    <m/>
    <m/>
    <n v="0"/>
    <n v="0"/>
  </r>
  <r>
    <x v="1"/>
    <s v="South Arkansas Community College"/>
    <n v="107974"/>
    <x v="8"/>
    <s v="sem"/>
    <m/>
    <m/>
    <m/>
    <n v="13219"/>
    <n v="15006"/>
    <n v="5706"/>
    <n v="6052"/>
    <n v="14925"/>
    <n v="16775"/>
    <n v="33850"/>
    <n v="1128.3333333333333"/>
    <n v="37833"/>
    <n v="1261.0999999999999"/>
    <n v="1701"/>
    <n v="2026"/>
    <n v="33850"/>
    <n v="37833"/>
    <m/>
    <m/>
    <m/>
    <m/>
    <m/>
    <m/>
    <m/>
    <m/>
    <n v="0"/>
    <n v="0"/>
    <n v="0"/>
    <n v="0"/>
    <m/>
    <m/>
    <n v="0"/>
    <n v="0"/>
  </r>
  <r>
    <x v="1"/>
    <s v="Southeast Arkansas College"/>
    <n v="107637"/>
    <x v="8"/>
    <s v="sem"/>
    <m/>
    <m/>
    <m/>
    <n v="19378"/>
    <n v="20137"/>
    <n v="6339"/>
    <n v="6139"/>
    <n v="19870"/>
    <n v="20029"/>
    <n v="45587"/>
    <n v="1519.5666666666666"/>
    <n v="46305"/>
    <n v="1543.5"/>
    <n v="1307"/>
    <n v="932"/>
    <n v="45587"/>
    <n v="46305"/>
    <m/>
    <m/>
    <m/>
    <m/>
    <m/>
    <m/>
    <m/>
    <m/>
    <n v="0"/>
    <n v="0"/>
    <n v="0"/>
    <n v="0"/>
    <m/>
    <m/>
    <n v="0"/>
    <n v="0"/>
  </r>
  <r>
    <x v="1"/>
    <s v="Southern Arkansas University Tech"/>
    <n v="107992"/>
    <x v="8"/>
    <s v="sem"/>
    <m/>
    <m/>
    <m/>
    <n v="16427"/>
    <n v="17833"/>
    <n v="5406"/>
    <n v="5057"/>
    <n v="17528"/>
    <n v="18735"/>
    <n v="39361"/>
    <n v="1312.0333333333333"/>
    <n v="41625"/>
    <n v="1387.5"/>
    <n v="8310"/>
    <n v="9066"/>
    <n v="39361"/>
    <n v="41625"/>
    <m/>
    <m/>
    <m/>
    <m/>
    <m/>
    <m/>
    <m/>
    <m/>
    <n v="0"/>
    <n v="0"/>
    <n v="0"/>
    <n v="0"/>
    <m/>
    <m/>
    <n v="0"/>
    <n v="0"/>
  </r>
  <r>
    <x v="1"/>
    <s v="University of Arkansas Community College at Batesville"/>
    <n v="106999"/>
    <x v="8"/>
    <s v="sem"/>
    <m/>
    <m/>
    <m/>
    <n v="14964"/>
    <n v="16103"/>
    <n v="4278"/>
    <n v="4523"/>
    <n v="16394"/>
    <n v="19086"/>
    <n v="35636"/>
    <n v="1187.8666666666666"/>
    <n v="39712"/>
    <n v="1323.7333333333333"/>
    <n v="705"/>
    <n v="864"/>
    <n v="35636"/>
    <n v="39712"/>
    <m/>
    <m/>
    <m/>
    <m/>
    <m/>
    <m/>
    <m/>
    <m/>
    <n v="0"/>
    <n v="0"/>
    <n v="0"/>
    <n v="0"/>
    <m/>
    <m/>
    <n v="0"/>
    <n v="0"/>
  </r>
  <r>
    <x v="1"/>
    <s v="University of Arkansas Community College at Hope"/>
    <n v="107725"/>
    <x v="8"/>
    <s v="sem"/>
    <m/>
    <m/>
    <m/>
    <n v="11789"/>
    <n v="13419"/>
    <n v="2494"/>
    <n v="3168"/>
    <n v="12872"/>
    <n v="15152"/>
    <n v="27155"/>
    <n v="905.16666666666663"/>
    <n v="31739"/>
    <n v="1057.9666666666667"/>
    <n v="1296"/>
    <n v="1176"/>
    <n v="27155"/>
    <n v="31739"/>
    <m/>
    <m/>
    <m/>
    <m/>
    <m/>
    <m/>
    <m/>
    <m/>
    <n v="0"/>
    <n v="0"/>
    <n v="0"/>
    <n v="0"/>
    <m/>
    <m/>
    <n v="0"/>
    <n v="0"/>
  </r>
  <r>
    <x v="1"/>
    <s v="University of Arkansas Community College at Morrilton"/>
    <n v="107585"/>
    <x v="8"/>
    <s v="sem"/>
    <m/>
    <m/>
    <m/>
    <n v="18457"/>
    <n v="21347"/>
    <n v="2571"/>
    <n v="3472"/>
    <n v="22181"/>
    <n v="27660"/>
    <n v="43209"/>
    <n v="1440.3"/>
    <n v="52479"/>
    <n v="1749.3"/>
    <n v="448"/>
    <n v="524"/>
    <n v="43209"/>
    <n v="52479"/>
    <m/>
    <m/>
    <m/>
    <m/>
    <m/>
    <m/>
    <m/>
    <m/>
    <n v="0"/>
    <n v="0"/>
    <n v="0"/>
    <n v="0"/>
    <m/>
    <m/>
    <n v="0"/>
    <n v="0"/>
  </r>
  <r>
    <x v="2"/>
    <s v="University of Delaware"/>
    <n v="130943"/>
    <x v="0"/>
    <s v="sem"/>
    <s v="sem "/>
    <n v="36982"/>
    <n v="35795"/>
    <n v="216280"/>
    <n v="219168"/>
    <n v="18149"/>
    <n v="16806"/>
    <n v="233697"/>
    <n v="242206"/>
    <n v="505108"/>
    <n v="16836.933333333334"/>
    <n v="513975"/>
    <n v="17132.5"/>
    <n v="273"/>
    <n v="327"/>
    <n v="505108"/>
    <n v="513975"/>
    <m/>
    <m/>
    <m/>
    <m/>
    <m/>
    <m/>
    <m/>
    <m/>
    <n v="0"/>
    <n v="0"/>
    <n v="0"/>
    <n v="0"/>
    <m/>
    <m/>
    <n v="0"/>
    <n v="0"/>
  </r>
  <r>
    <x v="2"/>
    <s v="Delaware State University"/>
    <n v="130934"/>
    <x v="3"/>
    <s v="sem"/>
    <s v="sem"/>
    <m/>
    <m/>
    <n v="44907"/>
    <n v="42773"/>
    <n v="5820"/>
    <n v="5037"/>
    <n v="45384"/>
    <n v="45618"/>
    <n v="96111"/>
    <n v="3203.7"/>
    <n v="93428"/>
    <n v="3114.2666666666669"/>
    <n v="0"/>
    <n v="138"/>
    <n v="96111"/>
    <n v="93428"/>
    <m/>
    <m/>
    <m/>
    <m/>
    <m/>
    <m/>
    <m/>
    <m/>
    <n v="0"/>
    <n v="0"/>
    <n v="0"/>
    <n v="0"/>
    <m/>
    <m/>
    <n v="0"/>
    <n v="0"/>
  </r>
  <r>
    <x v="2"/>
    <s v="Delaware Technical and Community College--Owens"/>
    <n v="130891"/>
    <x v="7"/>
    <s v="sem"/>
    <s v="sem"/>
    <m/>
    <m/>
    <n v="36617"/>
    <n v="40958"/>
    <n v="5094"/>
    <n v="7947"/>
    <n v="42099"/>
    <n v="49270"/>
    <n v="83810"/>
    <n v="2793.6666666666665"/>
    <n v="98175"/>
    <n v="3272.5"/>
    <n v="69"/>
    <n v="82"/>
    <n v="83810"/>
    <n v="98175"/>
    <m/>
    <m/>
    <m/>
    <m/>
    <m/>
    <m/>
    <m/>
    <m/>
    <n v="0"/>
    <n v="0"/>
    <n v="0"/>
    <n v="0"/>
    <m/>
    <m/>
    <n v="0"/>
    <n v="0"/>
  </r>
  <r>
    <x v="2"/>
    <s v="Delaware Technical and Community College--Stanton-Wilmington"/>
    <n v="130916"/>
    <x v="7"/>
    <s v="sem"/>
    <s v="sem"/>
    <m/>
    <m/>
    <n v="60261"/>
    <n v="64544"/>
    <n v="13215"/>
    <n v="17850"/>
    <n v="67081"/>
    <n v="74367"/>
    <n v="140557"/>
    <n v="4685.2333333333336"/>
    <n v="156761"/>
    <n v="5225.3666666666668"/>
    <n v="110"/>
    <n v="132"/>
    <n v="140557"/>
    <n v="156761"/>
    <m/>
    <m/>
    <m/>
    <m/>
    <m/>
    <m/>
    <m/>
    <m/>
    <n v="0"/>
    <n v="0"/>
    <n v="0"/>
    <n v="0"/>
    <m/>
    <m/>
    <n v="0"/>
    <n v="0"/>
  </r>
  <r>
    <x v="2"/>
    <s v="Delaware Technical and Community College--Terry"/>
    <n v="130907"/>
    <x v="7"/>
    <s v="sem"/>
    <s v="sem"/>
    <m/>
    <m/>
    <n v="27699"/>
    <n v="30484"/>
    <n v="5997"/>
    <n v="7967"/>
    <n v="31214"/>
    <n v="33821"/>
    <n v="64910"/>
    <n v="2163.6666666666665"/>
    <n v="72272"/>
    <n v="2409.0666666666666"/>
    <n v="51"/>
    <n v="60"/>
    <n v="64910"/>
    <n v="72272"/>
    <m/>
    <m/>
    <m/>
    <m/>
    <m/>
    <m/>
    <m/>
    <m/>
    <n v="0"/>
    <n v="0"/>
    <n v="0"/>
    <n v="0"/>
    <m/>
    <m/>
    <n v="0"/>
    <n v="0"/>
  </r>
  <r>
    <x v="3"/>
    <s v="Florida International University"/>
    <n v="133951"/>
    <x v="0"/>
    <s v="sem"/>
    <s v="sem"/>
    <m/>
    <m/>
    <n v="327861"/>
    <n v="324690"/>
    <n v="152635"/>
    <n v="149818"/>
    <n v="348970"/>
    <n v="353000"/>
    <n v="829466"/>
    <n v="27648.866666666665"/>
    <n v="827508"/>
    <n v="27583.599999999999"/>
    <n v="9489"/>
    <n v="10640"/>
    <n v="829466"/>
    <n v="827508"/>
    <m/>
    <m/>
    <m/>
    <m/>
    <m/>
    <m/>
    <m/>
    <m/>
    <n v="0"/>
    <n v="0"/>
    <n v="0"/>
    <n v="0"/>
    <m/>
    <m/>
    <n v="0"/>
    <n v="0"/>
  </r>
  <r>
    <x v="3"/>
    <s v="Florida State University "/>
    <n v="134097"/>
    <x v="0"/>
    <s v="sem"/>
    <s v="sem"/>
    <m/>
    <m/>
    <n v="392813"/>
    <n v="373884"/>
    <n v="129070"/>
    <n v="130017"/>
    <n v="426688"/>
    <n v="447045"/>
    <n v="948571"/>
    <n v="31619.033333333333"/>
    <n v="950946"/>
    <n v="31698.2"/>
    <n v="1209"/>
    <n v="1323"/>
    <n v="948571"/>
    <n v="950946"/>
    <m/>
    <m/>
    <m/>
    <m/>
    <m/>
    <m/>
    <m/>
    <m/>
    <n v="0"/>
    <n v="0"/>
    <n v="0"/>
    <n v="0"/>
    <m/>
    <m/>
    <n v="0"/>
    <n v="0"/>
  </r>
  <r>
    <x v="3"/>
    <s v="University of Central Florida "/>
    <n v="132903"/>
    <x v="0"/>
    <s v="sem"/>
    <s v="sem"/>
    <m/>
    <m/>
    <n v="475152"/>
    <n v="493586"/>
    <n v="175333"/>
    <n v="177413"/>
    <n v="510196"/>
    <n v="539657"/>
    <n v="1160681"/>
    <n v="38689.366666666669"/>
    <n v="1210656"/>
    <n v="40355.199999999997"/>
    <n v="650"/>
    <n v="501"/>
    <n v="1160681"/>
    <n v="1210656"/>
    <m/>
    <m/>
    <m/>
    <m/>
    <m/>
    <m/>
    <m/>
    <m/>
    <n v="0"/>
    <n v="0"/>
    <n v="0"/>
    <n v="0"/>
    <m/>
    <m/>
    <n v="0"/>
    <n v="0"/>
  </r>
  <r>
    <x v="3"/>
    <s v="University of Florida"/>
    <n v="134130"/>
    <x v="0"/>
    <s v="sem"/>
    <s v="sem"/>
    <m/>
    <m/>
    <n v="454614"/>
    <n v="443102"/>
    <n v="129962"/>
    <n v="125275"/>
    <n v="468688"/>
    <n v="452631"/>
    <n v="1053264"/>
    <n v="35108.800000000003"/>
    <n v="1021008"/>
    <n v="34033.599999999999"/>
    <n v="1059"/>
    <n v="884"/>
    <n v="1053264"/>
    <n v="1021008"/>
    <m/>
    <m/>
    <m/>
    <m/>
    <m/>
    <m/>
    <m/>
    <m/>
    <n v="0"/>
    <n v="0"/>
    <n v="0"/>
    <n v="0"/>
    <m/>
    <m/>
    <n v="0"/>
    <n v="0"/>
  </r>
  <r>
    <x v="3"/>
    <s v="University of South Florida "/>
    <n v="137351"/>
    <x v="0"/>
    <s v="sem"/>
    <s v="sem"/>
    <m/>
    <m/>
    <n v="394583"/>
    <n v="400355"/>
    <n v="140834"/>
    <n v="150205"/>
    <n v="425141"/>
    <n v="436751"/>
    <n v="960558"/>
    <n v="32018.6"/>
    <n v="987311"/>
    <n v="32910.366666666669"/>
    <n v="18354"/>
    <n v="22647"/>
    <n v="960558"/>
    <n v="987311"/>
    <m/>
    <m/>
    <m/>
    <m/>
    <m/>
    <m/>
    <m/>
    <m/>
    <n v="0"/>
    <n v="0"/>
    <n v="0"/>
    <n v="0"/>
    <m/>
    <m/>
    <n v="0"/>
    <n v="0"/>
  </r>
  <r>
    <x v="3"/>
    <s v="Florida Atlantic University "/>
    <n v="133669"/>
    <x v="1"/>
    <s v="sem"/>
    <s v="sem"/>
    <m/>
    <m/>
    <n v="210274"/>
    <n v="215843"/>
    <n v="77775"/>
    <n v="82644"/>
    <n v="231517"/>
    <n v="240567"/>
    <n v="519566"/>
    <n v="17318.866666666665"/>
    <n v="539054"/>
    <n v="17968.466666666667"/>
    <n v="3934"/>
    <n v="4408"/>
    <n v="519566"/>
    <n v="539054"/>
    <m/>
    <m/>
    <m/>
    <m/>
    <m/>
    <m/>
    <m/>
    <m/>
    <n v="0"/>
    <n v="0"/>
    <n v="0"/>
    <n v="0"/>
    <m/>
    <m/>
    <n v="0"/>
    <n v="0"/>
  </r>
  <r>
    <x v="3"/>
    <s v="Florida Agricultural &amp; Mechanical University "/>
    <n v="133650"/>
    <x v="2"/>
    <s v="sem"/>
    <s v="sem"/>
    <m/>
    <m/>
    <n v="121162"/>
    <n v="121205"/>
    <n v="33039"/>
    <n v="33940"/>
    <n v="135235"/>
    <n v="140384"/>
    <n v="289436"/>
    <n v="9647.8666666666668"/>
    <n v="295529"/>
    <n v="9850.9666666666672"/>
    <n v="2729"/>
    <n v="2507"/>
    <n v="289436"/>
    <n v="295529"/>
    <m/>
    <m/>
    <m/>
    <m/>
    <m/>
    <m/>
    <m/>
    <m/>
    <n v="0"/>
    <n v="0"/>
    <n v="0"/>
    <n v="0"/>
    <m/>
    <m/>
    <n v="0"/>
    <n v="0"/>
  </r>
  <r>
    <x v="3"/>
    <s v="University of North Florida"/>
    <n v="136172"/>
    <x v="2"/>
    <s v="sem"/>
    <s v="sem"/>
    <m/>
    <m/>
    <n v="158205"/>
    <n v="149960"/>
    <n v="56563"/>
    <n v="58048"/>
    <n v="157645"/>
    <n v="170160"/>
    <n v="372413"/>
    <n v="12413.766666666666"/>
    <n v="378168"/>
    <n v="12605.6"/>
    <n v="8351"/>
    <n v="6792"/>
    <n v="372413"/>
    <n v="378168"/>
    <m/>
    <m/>
    <m/>
    <m/>
    <m/>
    <m/>
    <m/>
    <m/>
    <n v="0"/>
    <n v="0"/>
    <n v="0"/>
    <n v="0"/>
    <m/>
    <m/>
    <n v="0"/>
    <n v="0"/>
  </r>
  <r>
    <x v="3"/>
    <s v="University of West Florida"/>
    <n v="138354"/>
    <x v="2"/>
    <s v="sem"/>
    <s v="sem"/>
    <m/>
    <m/>
    <n v="93046"/>
    <n v="92618"/>
    <n v="33630"/>
    <n v="34966"/>
    <n v="99545"/>
    <n v="103886"/>
    <n v="226221"/>
    <n v="7540.7"/>
    <n v="231470"/>
    <n v="7715.666666666667"/>
    <n v="240"/>
    <n v="402"/>
    <n v="226221"/>
    <n v="231470"/>
    <m/>
    <m/>
    <m/>
    <m/>
    <m/>
    <m/>
    <m/>
    <m/>
    <n v="0"/>
    <n v="0"/>
    <n v="0"/>
    <n v="0"/>
    <m/>
    <m/>
    <n v="0"/>
    <n v="0"/>
  </r>
  <r>
    <x v="3"/>
    <s v="Florida Gulf Coast University"/>
    <n v="433660"/>
    <x v="3"/>
    <s v="sem"/>
    <s v="sem"/>
    <m/>
    <m/>
    <n v="92415"/>
    <n v="102782"/>
    <n v="24463"/>
    <n v="25148"/>
    <n v="107932"/>
    <n v="119898"/>
    <n v="224810"/>
    <n v="7493.666666666667"/>
    <n v="247828"/>
    <n v="8260.9333333333325"/>
    <n v="1673"/>
    <n v="1977"/>
    <n v="224810"/>
    <n v="247828"/>
    <m/>
    <m/>
    <m/>
    <m/>
    <m/>
    <m/>
    <m/>
    <m/>
    <n v="0"/>
    <n v="0"/>
    <n v="0"/>
    <n v="0"/>
    <m/>
    <m/>
    <n v="0"/>
    <n v="0"/>
  </r>
  <r>
    <x v="3"/>
    <s v="New College of Florida"/>
    <n v="262129"/>
    <x v="5"/>
    <s v="sem"/>
    <s v="sem"/>
    <m/>
    <m/>
    <n v="12036"/>
    <n v="12132"/>
    <m/>
    <m/>
    <n v="14912"/>
    <n v="15740"/>
    <n v="26948"/>
    <n v="898.26666666666665"/>
    <n v="27872"/>
    <n v="929.06666666666672"/>
    <n v="68"/>
    <n v="56"/>
    <n v="26948"/>
    <n v="27872"/>
    <m/>
    <m/>
    <m/>
    <m/>
    <m/>
    <m/>
    <m/>
    <m/>
    <n v="0"/>
    <n v="0"/>
    <n v="0"/>
    <n v="0"/>
    <m/>
    <m/>
    <n v="0"/>
    <n v="0"/>
  </r>
  <r>
    <x v="3"/>
    <s v="Chipola College "/>
    <n v="133021"/>
    <x v="11"/>
    <s v="sem"/>
    <s v="sem"/>
    <m/>
    <m/>
    <n v="17114"/>
    <n v="19898"/>
    <n v="5427"/>
    <n v="5852"/>
    <n v="20776"/>
    <n v="21466"/>
    <n v="43317"/>
    <n v="1443.9"/>
    <n v="47216"/>
    <n v="1573.8666666666666"/>
    <n v="3901"/>
    <n v="4061"/>
    <n v="43317"/>
    <n v="47216"/>
    <m/>
    <m/>
    <n v="77854"/>
    <n v="78569"/>
    <n v="35962"/>
    <n v="27871"/>
    <n v="74951"/>
    <n v="67150"/>
    <n v="188767"/>
    <n v="209.74111111111111"/>
    <n v="173590"/>
    <n v="192.87777777777777"/>
    <n v="8267"/>
    <n v="7875"/>
    <n v="188767"/>
    <n v="173590"/>
  </r>
  <r>
    <x v="3"/>
    <s v="Daytona Beach Community College "/>
    <n v="133386"/>
    <x v="11"/>
    <s v="sem"/>
    <s v="sem"/>
    <m/>
    <m/>
    <n v="122409"/>
    <n v="139984"/>
    <n v="39427"/>
    <n v="45986"/>
    <n v="138542"/>
    <n v="166001"/>
    <n v="300378"/>
    <n v="10012.6"/>
    <n v="351971"/>
    <n v="11732.366666666667"/>
    <n v="17480"/>
    <n v="24182"/>
    <n v="300378"/>
    <n v="351971"/>
    <m/>
    <m/>
    <n v="1163385"/>
    <n v="1158022"/>
    <n v="628110"/>
    <n v="634041"/>
    <n v="1107943"/>
    <n v="1189859"/>
    <n v="2899438"/>
    <n v="3221.597777777778"/>
    <n v="2981922"/>
    <n v="3313.2466666666664"/>
    <n v="33028"/>
    <n v="33420"/>
    <n v="2899438"/>
    <n v="2981922"/>
  </r>
  <r>
    <x v="3"/>
    <s v="Miami Dade College "/>
    <n v="135717"/>
    <x v="11"/>
    <s v="sem"/>
    <s v="sem"/>
    <m/>
    <m/>
    <n v="516312"/>
    <n v="564398"/>
    <n v="272485"/>
    <n v="291031"/>
    <n v="565389"/>
    <n v="607975"/>
    <n v="1354186"/>
    <n v="45139.533333333333"/>
    <n v="1463404"/>
    <n v="48780.133333333331"/>
    <n v="19963"/>
    <n v="21986"/>
    <n v="1354186"/>
    <n v="1463404"/>
    <m/>
    <m/>
    <n v="3045387"/>
    <n v="3184728"/>
    <n v="2796873"/>
    <n v="2497876"/>
    <n v="2959024"/>
    <n v="2087029"/>
    <n v="8801284"/>
    <n v="9779.2044444444437"/>
    <n v="7769633"/>
    <n v="8632.9255555555555"/>
    <n v="0"/>
    <n v="0"/>
    <n v="8801284"/>
    <n v="7769633"/>
  </r>
  <r>
    <x v="3"/>
    <s v="Northwest Florida State College"/>
    <n v="136233"/>
    <x v="11"/>
    <s v="sem"/>
    <s v="sem"/>
    <m/>
    <m/>
    <n v="59403"/>
    <n v="63809"/>
    <n v="26034"/>
    <n v="28182"/>
    <n v="65288"/>
    <n v="67865"/>
    <n v="150725"/>
    <n v="5024.166666666667"/>
    <n v="159856"/>
    <n v="5328.5333333333338"/>
    <n v="5983"/>
    <n v="7085"/>
    <n v="150725"/>
    <n v="159856"/>
    <m/>
    <m/>
    <n v="138334"/>
    <n v="144218"/>
    <n v="83715"/>
    <n v="80889"/>
    <n v="145682"/>
    <n v="152125"/>
    <n v="367731"/>
    <n v="408.59"/>
    <n v="377232"/>
    <n v="419.14666666666665"/>
    <n v="0"/>
    <n v="0"/>
    <n v="367731"/>
    <n v="377232"/>
  </r>
  <r>
    <x v="3"/>
    <s v="St. Petersburg College "/>
    <n v="137078"/>
    <x v="11"/>
    <s v="sem"/>
    <s v="sem"/>
    <m/>
    <m/>
    <n v="212497"/>
    <n v="231691"/>
    <n v="85117"/>
    <n v="91746"/>
    <n v="229163"/>
    <n v="257786"/>
    <n v="526777"/>
    <n v="17559.233333333334"/>
    <n v="581223"/>
    <n v="19374.099999999999"/>
    <n v="17910"/>
    <n v="21652"/>
    <n v="526777"/>
    <n v="581223"/>
    <m/>
    <m/>
    <n v="147103"/>
    <n v="150094"/>
    <n v="88374"/>
    <n v="68586"/>
    <n v="174167"/>
    <n v="130056"/>
    <n v="409644"/>
    <n v="455.16"/>
    <n v="348736"/>
    <n v="387.48444444444442"/>
    <n v="0"/>
    <n v="0"/>
    <n v="409644"/>
    <n v="348736"/>
  </r>
  <r>
    <x v="3"/>
    <s v="Brevard Community College "/>
    <n v="132693"/>
    <x v="6"/>
    <s v="sem"/>
    <s v="sem"/>
    <m/>
    <m/>
    <n v="121486"/>
    <n v="137865"/>
    <n v="39473"/>
    <n v="48406"/>
    <n v="133277"/>
    <n v="153404"/>
    <n v="294236"/>
    <n v="9807.8666666666668"/>
    <n v="339675"/>
    <n v="11322.5"/>
    <n v="33203"/>
    <n v="40467"/>
    <n v="294236"/>
    <n v="339675"/>
    <m/>
    <m/>
    <n v="508014"/>
    <n v="514872"/>
    <n v="182056"/>
    <n v="185750"/>
    <n v="655185"/>
    <n v="688005"/>
    <n v="1345255"/>
    <n v="1494.7277777777779"/>
    <n v="1388627"/>
    <n v="1542.9188888888889"/>
    <n v="81951"/>
    <n v="78476"/>
    <n v="1345255"/>
    <n v="1388627"/>
  </r>
  <r>
    <x v="3"/>
    <s v="Broward Community College "/>
    <n v="132709"/>
    <x v="6"/>
    <s v="sem"/>
    <s v="sem"/>
    <m/>
    <m/>
    <n v="270956"/>
    <n v="298974"/>
    <n v="133254"/>
    <n v="151918"/>
    <n v="289901"/>
    <n v="330703"/>
    <n v="694111"/>
    <n v="23137.033333333333"/>
    <n v="781595"/>
    <n v="26053.166666666668"/>
    <n v="24859"/>
    <n v="29533"/>
    <n v="694111"/>
    <n v="781595"/>
    <m/>
    <m/>
    <n v="273147"/>
    <n v="252784"/>
    <n v="169468"/>
    <n v="143817"/>
    <n v="256481"/>
    <n v="222535"/>
    <n v="699096"/>
    <n v="776.77333333333331"/>
    <n v="619136"/>
    <n v="687.92888888888888"/>
    <n v="0"/>
    <n v="0"/>
    <n v="699096"/>
    <n v="619136"/>
  </r>
  <r>
    <x v="3"/>
    <s v="Edison State College "/>
    <n v="133508"/>
    <x v="6"/>
    <s v="sem"/>
    <s v="sem"/>
    <m/>
    <m/>
    <n v="99439"/>
    <n v="117087"/>
    <n v="43790"/>
    <n v="53812"/>
    <n v="116839"/>
    <n v="142615"/>
    <n v="260068"/>
    <n v="8668.9333333333325"/>
    <n v="313514"/>
    <n v="10450.466666666667"/>
    <n v="15951"/>
    <n v="18926"/>
    <n v="260068"/>
    <n v="313514"/>
    <m/>
    <m/>
    <n v="21084"/>
    <n v="26166"/>
    <n v="8943"/>
    <n v="27441"/>
    <n v="19383"/>
    <n v="27645"/>
    <n v="49410"/>
    <n v="54.9"/>
    <n v="81252"/>
    <n v="90.28"/>
    <n v="0"/>
    <n v="0"/>
    <n v="49410"/>
    <n v="81252"/>
  </r>
  <r>
    <x v="3"/>
    <s v="Florida Community College at Jacksonville"/>
    <n v="133702"/>
    <x v="6"/>
    <s v="sem"/>
    <s v="sem"/>
    <m/>
    <m/>
    <n v="188007"/>
    <n v="210437"/>
    <n v="102116"/>
    <n v="119889"/>
    <n v="212972"/>
    <n v="249244"/>
    <n v="503095"/>
    <n v="16769.833333333332"/>
    <n v="579570"/>
    <n v="19319"/>
    <n v="16802"/>
    <n v="18904"/>
    <n v="503095"/>
    <n v="579570"/>
    <m/>
    <m/>
    <n v="2726747"/>
    <n v="2653565"/>
    <n v="1580613"/>
    <n v="2119915"/>
    <n v="2353574"/>
    <n v="1990251"/>
    <n v="6660934"/>
    <n v="7401.0377777777776"/>
    <n v="6763731"/>
    <n v="7515.2566666666671"/>
    <n v="35629"/>
    <n v="61720"/>
    <n v="6660934"/>
    <n v="6763731"/>
  </r>
  <r>
    <x v="3"/>
    <s v="Hillsborough Community College "/>
    <n v="134495"/>
    <x v="6"/>
    <s v="sem"/>
    <s v="sem"/>
    <m/>
    <m/>
    <n v="183758"/>
    <n v="210620"/>
    <n v="71207"/>
    <n v="79013"/>
    <n v="209829"/>
    <n v="239532"/>
    <n v="464794"/>
    <n v="15493.133333333333"/>
    <n v="529165"/>
    <n v="17638.833333333332"/>
    <n v="7057"/>
    <n v="8399"/>
    <n v="464794"/>
    <n v="529165"/>
    <m/>
    <m/>
    <n v="921346"/>
    <n v="917517"/>
    <n v="237818"/>
    <n v="212101"/>
    <n v="998985"/>
    <n v="849903"/>
    <n v="2158149"/>
    <n v="2397.9433333333332"/>
    <n v="1979521"/>
    <n v="2199.4677777777779"/>
    <n v="0"/>
    <n v="0"/>
    <n v="2158149"/>
    <n v="1979521"/>
  </r>
  <r>
    <x v="3"/>
    <s v="Indian River Community College "/>
    <n v="134608"/>
    <x v="6"/>
    <s v="sem"/>
    <s v="sem"/>
    <m/>
    <m/>
    <n v="102345"/>
    <n v="111836"/>
    <n v="52438"/>
    <n v="57119"/>
    <n v="115550"/>
    <n v="130192"/>
    <n v="270333"/>
    <n v="9011.1"/>
    <n v="299147"/>
    <n v="9971.5666666666675"/>
    <n v="21351"/>
    <n v="22507"/>
    <n v="270333"/>
    <n v="299147"/>
    <m/>
    <m/>
    <n v="1186062"/>
    <n v="1131898"/>
    <n v="887799"/>
    <n v="860225"/>
    <n v="1107926"/>
    <n v="1069541"/>
    <n v="3181787"/>
    <n v="3535.318888888889"/>
    <n v="3061664"/>
    <n v="3401.8488888888887"/>
    <n v="44814"/>
    <n v="48770"/>
    <n v="3181787"/>
    <n v="3061664"/>
  </r>
  <r>
    <x v="3"/>
    <s v="Palm Beach Community College "/>
    <n v="136358"/>
    <x v="6"/>
    <s v="sem"/>
    <s v="sem"/>
    <m/>
    <m/>
    <n v="172359"/>
    <n v="197359"/>
    <n v="77001"/>
    <n v="87019"/>
    <n v="202507"/>
    <n v="230776"/>
    <n v="451867"/>
    <n v="15062.233333333334"/>
    <n v="515154"/>
    <n v="17171.8"/>
    <n v="10397"/>
    <n v="14122"/>
    <n v="451867"/>
    <n v="515154"/>
    <m/>
    <m/>
    <n v="960460"/>
    <n v="912211"/>
    <n v="582060"/>
    <n v="488871"/>
    <n v="884467"/>
    <n v="748942"/>
    <n v="2426987"/>
    <n v="2696.652222222222"/>
    <n v="2150024"/>
    <n v="2388.9155555555553"/>
    <n v="274"/>
    <n v="9736"/>
    <n v="2426987"/>
    <n v="2150024"/>
  </r>
  <r>
    <x v="3"/>
    <s v="Pasco-Hernando Community College "/>
    <n v="136400"/>
    <x v="6"/>
    <s v="sem"/>
    <s v="sem"/>
    <m/>
    <m/>
    <n v="66278"/>
    <n v="73450"/>
    <n v="20786"/>
    <n v="24955"/>
    <n v="74361"/>
    <n v="87308"/>
    <n v="161425"/>
    <n v="5380.833333333333"/>
    <n v="185713"/>
    <n v="6190.4333333333334"/>
    <n v="13905"/>
    <n v="15214"/>
    <n v="161425"/>
    <n v="185713"/>
    <m/>
    <m/>
    <n v="157103"/>
    <n v="185052"/>
    <n v="88947"/>
    <n v="120958"/>
    <n v="159128"/>
    <n v="216745"/>
    <n v="405178"/>
    <n v="450.19777777777779"/>
    <n v="522755"/>
    <n v="580.83888888888885"/>
    <n v="4700"/>
    <n v="13085"/>
    <n v="405178"/>
    <n v="522755"/>
  </r>
  <r>
    <x v="3"/>
    <s v="Pensacola Junior College "/>
    <n v="136473"/>
    <x v="6"/>
    <s v="sem"/>
    <s v="sem"/>
    <m/>
    <m/>
    <n v="91540"/>
    <n v="93038"/>
    <n v="34536"/>
    <n v="36211"/>
    <n v="94363"/>
    <n v="102388"/>
    <n v="220439"/>
    <n v="7347.9666666666662"/>
    <n v="231637"/>
    <n v="7721.2333333333336"/>
    <n v="25151"/>
    <n v="23308"/>
    <n v="220439"/>
    <n v="231637"/>
    <m/>
    <m/>
    <n v="401564"/>
    <n v="463692"/>
    <n v="265990"/>
    <n v="257934"/>
    <n v="463155"/>
    <n v="468148"/>
    <n v="1130709"/>
    <n v="1256.3433333333332"/>
    <n v="1189774"/>
    <n v="1321.9711111111112"/>
    <n v="2640"/>
    <n v="2910"/>
    <n v="1130709"/>
    <n v="1189774"/>
  </r>
  <r>
    <x v="3"/>
    <s v="Polk Community College "/>
    <n v="136516"/>
    <x v="6"/>
    <s v="sem"/>
    <s v="sem"/>
    <m/>
    <m/>
    <n v="62691"/>
    <n v="71147"/>
    <n v="26582"/>
    <n v="30433"/>
    <n v="73173"/>
    <n v="80213"/>
    <n v="162446"/>
    <n v="5414.8666666666668"/>
    <n v="181793"/>
    <n v="6059.7666666666664"/>
    <n v="13762"/>
    <n v="10659"/>
    <n v="162446"/>
    <n v="181793"/>
    <m/>
    <m/>
    <n v="108646"/>
    <n v="118569"/>
    <n v="61594"/>
    <n v="48048"/>
    <n v="86814"/>
    <n v="103976"/>
    <n v="257054"/>
    <n v="285.61555555555555"/>
    <n v="270593"/>
    <n v="300.6588888888889"/>
    <n v="0"/>
    <n v="0"/>
    <n v="257054"/>
    <n v="270593"/>
  </r>
  <r>
    <x v="3"/>
    <s v="Santa Fe Community College "/>
    <n v="137096"/>
    <x v="6"/>
    <s v="sem"/>
    <s v="sem"/>
    <m/>
    <m/>
    <n v="139690"/>
    <n v="135579"/>
    <n v="57454"/>
    <n v="58401"/>
    <n v="146574"/>
    <n v="148075"/>
    <n v="343718"/>
    <n v="11457.266666666666"/>
    <n v="342055"/>
    <n v="11401.833333333334"/>
    <n v="11616"/>
    <n v="10802"/>
    <n v="343718"/>
    <n v="342055"/>
    <m/>
    <m/>
    <n v="61518"/>
    <n v="261297"/>
    <n v="166674"/>
    <n v="190484"/>
    <n v="276021"/>
    <n v="253300"/>
    <n v="504213"/>
    <n v="560.23666666666668"/>
    <n v="705081"/>
    <n v="783.42333333333329"/>
    <n v="2726"/>
    <n v="4113"/>
    <n v="504213"/>
    <n v="705081"/>
  </r>
  <r>
    <x v="3"/>
    <s v="Seminole Community College "/>
    <n v="137209"/>
    <x v="6"/>
    <s v="sem"/>
    <s v="sem"/>
    <m/>
    <m/>
    <n v="103483"/>
    <n v="123682"/>
    <n v="46304"/>
    <n v="57788"/>
    <n v="122395"/>
    <n v="149453"/>
    <n v="272182"/>
    <n v="9072.7333333333336"/>
    <n v="330923"/>
    <n v="11030.766666666666"/>
    <n v="4876"/>
    <n v="5223"/>
    <n v="272182"/>
    <n v="330923"/>
    <m/>
    <m/>
    <n v="826727"/>
    <n v="790694"/>
    <n v="554733"/>
    <n v="498528"/>
    <n v="778892"/>
    <n v="661764"/>
    <n v="2160352"/>
    <n v="2400.3911111111111"/>
    <n v="1950986"/>
    <n v="2167.7622222222221"/>
    <n v="20469"/>
    <n v="9926"/>
    <n v="2160352"/>
    <n v="1950986"/>
  </r>
  <r>
    <x v="3"/>
    <s v="State College of Florida, Manatee-Sarasota"/>
    <n v="135391"/>
    <x v="6"/>
    <s v="sem"/>
    <s v="sem"/>
    <m/>
    <m/>
    <n v="96769"/>
    <n v="107213"/>
    <n v="35429"/>
    <n v="42301"/>
    <n v="109207"/>
    <n v="122872"/>
    <n v="241405"/>
    <n v="8046.833333333333"/>
    <n v="272386"/>
    <n v="9079.5333333333328"/>
    <n v="11782"/>
    <n v="15512"/>
    <n v="241405"/>
    <n v="272386"/>
    <m/>
    <m/>
    <n v="58856"/>
    <n v="80416"/>
    <n v="67213"/>
    <n v="43581"/>
    <n v="50870"/>
    <n v="45870"/>
    <n v="176939"/>
    <n v="196.59888888888889"/>
    <n v="169867"/>
    <n v="188.74111111111111"/>
    <n v="0"/>
    <n v="0"/>
    <n v="176939"/>
    <n v="169867"/>
  </r>
  <r>
    <x v="3"/>
    <s v="Tallahassee Community College "/>
    <n v="137759"/>
    <x v="6"/>
    <s v="sem"/>
    <s v="sem"/>
    <m/>
    <m/>
    <n v="120032"/>
    <n v="127049"/>
    <n v="53130"/>
    <n v="57707"/>
    <n v="135412"/>
    <n v="142348"/>
    <n v="308574"/>
    <n v="10285.799999999999"/>
    <n v="327104"/>
    <n v="10903.466666666667"/>
    <n v="8713"/>
    <n v="7977"/>
    <n v="308574"/>
    <n v="327104"/>
    <m/>
    <m/>
    <n v="536091"/>
    <n v="402594"/>
    <n v="335499"/>
    <n v="309264"/>
    <n v="545793"/>
    <n v="469802"/>
    <n v="1417383"/>
    <n v="1574.87"/>
    <n v="1181660"/>
    <n v="1312.9555555555555"/>
    <n v="12696"/>
    <n v="12696"/>
    <n v="1417383"/>
    <n v="1181660"/>
  </r>
  <r>
    <x v="3"/>
    <s v="Valencia Community College "/>
    <n v="138187"/>
    <x v="6"/>
    <s v="sem"/>
    <s v="sem"/>
    <m/>
    <m/>
    <n v="283518"/>
    <n v="316829"/>
    <n v="129718"/>
    <n v="150043"/>
    <n v="323992"/>
    <n v="360933"/>
    <n v="737228"/>
    <n v="24574.266666666666"/>
    <n v="827805"/>
    <n v="27593.5"/>
    <n v="25442"/>
    <n v="29843"/>
    <n v="737228"/>
    <n v="827805"/>
    <m/>
    <m/>
    <n v="306819"/>
    <n v="256896"/>
    <n v="139516"/>
    <n v="75987"/>
    <n v="228973"/>
    <n v="181202"/>
    <n v="675308"/>
    <n v="750.34222222222218"/>
    <n v="514085"/>
    <n v="571.20555555555552"/>
    <n v="0"/>
    <n v="0"/>
    <n v="675308"/>
    <n v="514085"/>
  </r>
  <r>
    <x v="3"/>
    <s v="Central Florida Community College "/>
    <n v="132851"/>
    <x v="7"/>
    <s v="sem"/>
    <s v="sem"/>
    <m/>
    <m/>
    <n v="53276"/>
    <n v="61068"/>
    <n v="19721"/>
    <n v="22496"/>
    <n v="61720"/>
    <n v="73620"/>
    <n v="134717"/>
    <n v="4490.5666666666666"/>
    <n v="157184"/>
    <n v="5239.4666666666662"/>
    <n v="7298"/>
    <n v="8054"/>
    <n v="134717"/>
    <n v="157184"/>
    <m/>
    <m/>
    <n v="264709"/>
    <n v="264177"/>
    <n v="175180"/>
    <n v="174422"/>
    <n v="232716"/>
    <n v="252744"/>
    <n v="672605"/>
    <n v="747.33888888888885"/>
    <n v="691343"/>
    <n v="768.1588888888889"/>
    <n v="2190"/>
    <n v="3810"/>
    <n v="672605"/>
    <n v="691343"/>
  </r>
  <r>
    <x v="3"/>
    <s v="Gulf Coast Community College "/>
    <n v="134343"/>
    <x v="7"/>
    <s v="sem"/>
    <s v="sem"/>
    <m/>
    <m/>
    <n v="52275"/>
    <n v="55143"/>
    <n v="14613"/>
    <n v="15834"/>
    <n v="57368"/>
    <n v="60260"/>
    <n v="124256"/>
    <n v="4141.8666666666668"/>
    <n v="131237"/>
    <n v="4374.5666666666666"/>
    <n v="15020"/>
    <n v="16453"/>
    <n v="124256"/>
    <n v="131237"/>
    <m/>
    <m/>
    <n v="266191"/>
    <n v="221010"/>
    <n v="140050"/>
    <n v="146625"/>
    <n v="225665"/>
    <n v="195097"/>
    <n v="631906"/>
    <n v="702.11777777777775"/>
    <n v="562732"/>
    <n v="625.25777777777773"/>
    <n v="0"/>
    <n v="0"/>
    <n v="631906"/>
    <n v="562732"/>
  </r>
  <r>
    <x v="3"/>
    <s v="Lake City Community College "/>
    <n v="135160"/>
    <x v="7"/>
    <s v="sem"/>
    <s v="sem"/>
    <m/>
    <m/>
    <n v="22720"/>
    <n v="22358"/>
    <n v="9003"/>
    <n v="9994"/>
    <n v="22676"/>
    <n v="24662"/>
    <n v="54399"/>
    <n v="1813.3"/>
    <n v="57014"/>
    <n v="1900.4666666666667"/>
    <n v="7403"/>
    <n v="7851"/>
    <n v="54399"/>
    <n v="57014"/>
    <m/>
    <m/>
    <n v="94721"/>
    <n v="119546"/>
    <n v="76693"/>
    <n v="76160"/>
    <n v="84893"/>
    <n v="136236"/>
    <n v="256307"/>
    <n v="284.78555555555556"/>
    <n v="331942"/>
    <n v="368.82444444444445"/>
    <n v="630"/>
    <n v="4780"/>
    <n v="256307"/>
    <n v="331942"/>
  </r>
  <r>
    <x v="3"/>
    <s v="Lake-Sumter Community College "/>
    <n v="135188"/>
    <x v="7"/>
    <s v="sem"/>
    <s v="sem"/>
    <m/>
    <m/>
    <n v="32433"/>
    <n v="35632"/>
    <n v="10603"/>
    <n v="12742"/>
    <n v="36336"/>
    <n v="40905"/>
    <n v="79372"/>
    <n v="2645.7333333333331"/>
    <n v="89279"/>
    <n v="2975.9666666666667"/>
    <n v="6832"/>
    <n v="8826"/>
    <n v="79372"/>
    <n v="89279"/>
    <m/>
    <m/>
    <n v="19177"/>
    <n v="27686"/>
    <n v="18744"/>
    <n v="12851"/>
    <n v="27914"/>
    <n v="25320"/>
    <n v="65835"/>
    <n v="73.150000000000006"/>
    <n v="65857"/>
    <n v="73.174444444444447"/>
    <n v="0"/>
    <n v="0"/>
    <n v="65835"/>
    <n v="65857"/>
  </r>
  <r>
    <x v="3"/>
    <s v="South Florida Community College "/>
    <n v="137315"/>
    <x v="7"/>
    <s v="sem"/>
    <s v="sem"/>
    <m/>
    <m/>
    <n v="17445"/>
    <n v="19463"/>
    <n v="5400"/>
    <n v="6184"/>
    <n v="19738"/>
    <n v="21887"/>
    <n v="42583"/>
    <n v="1419.4333333333334"/>
    <n v="47534"/>
    <n v="1584.4666666666667"/>
    <n v="5166"/>
    <n v="5140"/>
    <n v="42583"/>
    <n v="47534"/>
    <m/>
    <m/>
    <n v="430118"/>
    <n v="429350"/>
    <n v="248597"/>
    <n v="264595"/>
    <n v="468793"/>
    <n v="422895"/>
    <n v="1147508"/>
    <n v="1275.0088888888888"/>
    <n v="1116840"/>
    <n v="1240.9333333333334"/>
    <n v="131644"/>
    <n v="113601"/>
    <n v="1147508"/>
    <n v="1116840"/>
  </r>
  <r>
    <x v="3"/>
    <s v="St. Johns River Community College "/>
    <n v="137281"/>
    <x v="7"/>
    <s v="sem"/>
    <s v="sem"/>
    <m/>
    <m/>
    <n v="43468"/>
    <n v="48834"/>
    <n v="19427"/>
    <n v="22224"/>
    <n v="48449"/>
    <n v="55222"/>
    <n v="111344"/>
    <n v="3711.4666666666667"/>
    <n v="126280"/>
    <n v="4209.333333333333"/>
    <n v="10096"/>
    <n v="12315"/>
    <n v="111344"/>
    <n v="126280"/>
    <m/>
    <m/>
    <n v="221359"/>
    <n v="196969"/>
    <n v="135469"/>
    <n v="128795"/>
    <n v="243580"/>
    <n v="189331"/>
    <n v="600408"/>
    <n v="667.12"/>
    <n v="515095"/>
    <n v="572.32777777777778"/>
    <n v="0"/>
    <n v="2475"/>
    <n v="600408"/>
    <n v="515095"/>
  </r>
  <r>
    <x v="3"/>
    <s v="Florida Keys Community College "/>
    <n v="133960"/>
    <x v="8"/>
    <s v="sem"/>
    <s v="sem"/>
    <m/>
    <m/>
    <n v="9933"/>
    <n v="10693"/>
    <n v="3613"/>
    <n v="4325"/>
    <n v="10982"/>
    <n v="13105"/>
    <n v="24528"/>
    <n v="817.6"/>
    <n v="28123"/>
    <n v="937.43333333333328"/>
    <n v="2702"/>
    <n v="3168"/>
    <n v="24528"/>
    <n v="28123"/>
    <m/>
    <m/>
    <n v="18522"/>
    <n v="32560"/>
    <n v="8988"/>
    <n v="9214"/>
    <n v="24487"/>
    <n v="21882"/>
    <n v="51997"/>
    <n v="57.774444444444441"/>
    <n v="63656"/>
    <n v="70.728888888888889"/>
    <n v="0"/>
    <n v="0"/>
    <n v="51997"/>
    <n v="63656"/>
  </r>
  <r>
    <x v="3"/>
    <s v="North Florida Community College "/>
    <n v="136145"/>
    <x v="8"/>
    <s v="sem"/>
    <s v="sem"/>
    <m/>
    <m/>
    <n v="9577"/>
    <n v="8619"/>
    <n v="2664"/>
    <n v="3194"/>
    <n v="9725"/>
    <n v="10612"/>
    <n v="21966"/>
    <n v="732.2"/>
    <n v="22425"/>
    <n v="747.5"/>
    <n v="3131"/>
    <n v="3232"/>
    <n v="21966"/>
    <n v="22425"/>
    <m/>
    <m/>
    <n v="54381"/>
    <n v="53618"/>
    <n v="24601"/>
    <n v="16458"/>
    <n v="75293"/>
    <n v="62593"/>
    <n v="154275"/>
    <n v="171.41666666666666"/>
    <n v="132669"/>
    <n v="147.41"/>
    <n v="180"/>
    <n v="0"/>
    <n v="154275"/>
    <n v="132669"/>
  </r>
  <r>
    <x v="4"/>
    <s v="Georgia State University "/>
    <n v="139940"/>
    <x v="0"/>
    <s v="sem"/>
    <s v="sem"/>
    <m/>
    <m/>
    <n v="238791"/>
    <n v="251868"/>
    <n v="70525"/>
    <n v="75821"/>
    <n v="258599.5"/>
    <n v="279880"/>
    <n v="567915.5"/>
    <n v="18930.516666666666"/>
    <n v="607569"/>
    <n v="20252.3"/>
    <n v="1895"/>
    <n v="2205.5"/>
    <n v="567915.5"/>
    <n v="607569"/>
    <m/>
    <m/>
    <m/>
    <m/>
    <m/>
    <m/>
    <m/>
    <m/>
    <n v="0"/>
    <n v="0"/>
    <n v="0"/>
    <n v="0"/>
    <m/>
    <m/>
    <n v="0"/>
    <n v="0"/>
  </r>
  <r>
    <x v="4"/>
    <s v="University of Georgia"/>
    <n v="139959"/>
    <x v="0"/>
    <s v="sem"/>
    <s v="sem"/>
    <m/>
    <m/>
    <n v="324391.5"/>
    <n v="332602"/>
    <n v="60782"/>
    <n v="60543"/>
    <n v="344966.8"/>
    <n v="355063"/>
    <n v="730140.3"/>
    <n v="24338.010000000002"/>
    <n v="748208"/>
    <n v="24940.266666666666"/>
    <n v="239"/>
    <n v="116"/>
    <n v="730140.3"/>
    <n v="748208"/>
    <m/>
    <m/>
    <m/>
    <m/>
    <m/>
    <m/>
    <m/>
    <m/>
    <n v="0"/>
    <n v="0"/>
    <n v="0"/>
    <n v="0"/>
    <m/>
    <m/>
    <n v="0"/>
    <n v="0"/>
  </r>
  <r>
    <x v="4"/>
    <s v="Georgia Institute of Technology"/>
    <n v="139755"/>
    <x v="1"/>
    <s v="sem"/>
    <s v="sem"/>
    <m/>
    <m/>
    <n v="164290"/>
    <n v="168069"/>
    <n v="39122"/>
    <n v="43320"/>
    <n v="180806"/>
    <n v="186574"/>
    <n v="384218"/>
    <n v="12807.266666666666"/>
    <n v="397963"/>
    <n v="13265.433333333332"/>
    <n v="1173"/>
    <n v="1817"/>
    <n v="384218"/>
    <n v="397963"/>
    <m/>
    <m/>
    <m/>
    <m/>
    <m/>
    <m/>
    <m/>
    <m/>
    <n v="0"/>
    <n v="0"/>
    <n v="0"/>
    <n v="0"/>
    <m/>
    <m/>
    <n v="0"/>
    <n v="0"/>
  </r>
  <r>
    <x v="4"/>
    <s v="Georgia Southern University"/>
    <n v="139931"/>
    <x v="2"/>
    <s v="sem"/>
    <s v="sem"/>
    <m/>
    <m/>
    <n v="186324"/>
    <n v="191910"/>
    <n v="50377"/>
    <n v="57190"/>
    <n v="209026"/>
    <n v="223285"/>
    <n v="445727"/>
    <n v="14857.566666666668"/>
    <n v="472385"/>
    <n v="15746.166666666666"/>
    <n v="1688"/>
    <n v="1685"/>
    <n v="445727"/>
    <n v="472385"/>
    <m/>
    <m/>
    <m/>
    <m/>
    <m/>
    <m/>
    <m/>
    <m/>
    <n v="0"/>
    <n v="0"/>
    <n v="0"/>
    <n v="0"/>
    <m/>
    <m/>
    <n v="0"/>
    <n v="0"/>
  </r>
  <r>
    <x v="4"/>
    <s v="University of West Georgia"/>
    <n v="141334"/>
    <x v="2"/>
    <s v="sem"/>
    <s v="sem"/>
    <m/>
    <m/>
    <n v="107395"/>
    <n v="112633"/>
    <n v="28968"/>
    <n v="15995"/>
    <n v="120212"/>
    <n v="125667"/>
    <n v="256575"/>
    <n v="8552.5"/>
    <n v="254295"/>
    <n v="8476.5"/>
    <n v="3024"/>
    <n v="2794"/>
    <n v="256575"/>
    <n v="254295"/>
    <m/>
    <m/>
    <m/>
    <m/>
    <m/>
    <m/>
    <m/>
    <m/>
    <n v="0"/>
    <n v="0"/>
    <n v="0"/>
    <n v="0"/>
    <m/>
    <m/>
    <n v="0"/>
    <n v="0"/>
  </r>
  <r>
    <x v="4"/>
    <s v="Valdosta State University "/>
    <n v="141264"/>
    <x v="2"/>
    <s v="sem"/>
    <s v="sem"/>
    <m/>
    <m/>
    <n v="118862"/>
    <n v="123174"/>
    <n v="24646"/>
    <n v="24333"/>
    <n v="128774"/>
    <n v="138191"/>
    <n v="272282"/>
    <n v="9076.0666666666675"/>
    <n v="285698"/>
    <n v="9523.2666666666664"/>
    <n v="372"/>
    <n v="268"/>
    <n v="272282"/>
    <n v="285698"/>
    <m/>
    <m/>
    <m/>
    <m/>
    <m/>
    <m/>
    <m/>
    <m/>
    <n v="0"/>
    <n v="0"/>
    <n v="0"/>
    <n v="0"/>
    <m/>
    <m/>
    <n v="0"/>
    <n v="0"/>
  </r>
  <r>
    <x v="4"/>
    <s v="Albany State University "/>
    <n v="138716"/>
    <x v="3"/>
    <s v="sem"/>
    <s v="sem"/>
    <m/>
    <m/>
    <n v="45830"/>
    <n v="47170"/>
    <n v="11966"/>
    <n v="13721"/>
    <n v="49176"/>
    <n v="52570"/>
    <n v="106972"/>
    <n v="3565.7333333333331"/>
    <n v="113461"/>
    <n v="3782.0333333333333"/>
    <n v="27"/>
    <n v="49"/>
    <n v="106972"/>
    <n v="113461"/>
    <m/>
    <m/>
    <m/>
    <m/>
    <m/>
    <m/>
    <m/>
    <m/>
    <n v="0"/>
    <n v="0"/>
    <n v="0"/>
    <n v="0"/>
    <m/>
    <m/>
    <n v="0"/>
    <n v="0"/>
  </r>
  <r>
    <x v="4"/>
    <s v="Armstrong Atlantic State University"/>
    <n v="138789"/>
    <x v="3"/>
    <s v="sem"/>
    <s v="sem"/>
    <m/>
    <m/>
    <n v="64535"/>
    <n v="69099"/>
    <n v="17941"/>
    <n v="19694"/>
    <n v="72293.899999999994"/>
    <n v="78244"/>
    <n v="154769.9"/>
    <n v="5158.9966666666669"/>
    <n v="167037"/>
    <n v="5567.9"/>
    <n v="874"/>
    <n v="912"/>
    <n v="154769.9"/>
    <n v="167037"/>
    <m/>
    <m/>
    <m/>
    <m/>
    <m/>
    <m/>
    <m/>
    <m/>
    <n v="0"/>
    <n v="0"/>
    <n v="0"/>
    <n v="0"/>
    <m/>
    <m/>
    <n v="0"/>
    <n v="0"/>
  </r>
  <r>
    <x v="4"/>
    <s v="Columbus State University"/>
    <n v="139366"/>
    <x v="3"/>
    <s v="sem"/>
    <s v="sem"/>
    <m/>
    <m/>
    <n v="72540"/>
    <n v="76007"/>
    <n v="21280"/>
    <n v="22241"/>
    <n v="80178"/>
    <n v="82424"/>
    <n v="173998"/>
    <n v="5799.9333333333334"/>
    <n v="180672"/>
    <n v="6022.4"/>
    <n v="933"/>
    <n v="1122"/>
    <n v="173998"/>
    <n v="180672"/>
    <m/>
    <m/>
    <m/>
    <m/>
    <m/>
    <m/>
    <m/>
    <m/>
    <n v="0"/>
    <n v="0"/>
    <n v="0"/>
    <n v="0"/>
    <m/>
    <m/>
    <n v="0"/>
    <n v="0"/>
  </r>
  <r>
    <x v="4"/>
    <s v="Georgia College and State University"/>
    <n v="139861"/>
    <x v="3"/>
    <s v="sem"/>
    <s v="sem"/>
    <m/>
    <m/>
    <n v="68831"/>
    <n v="70384"/>
    <n v="13886"/>
    <n v="15537"/>
    <n v="74894"/>
    <n v="76893"/>
    <n v="157611"/>
    <n v="5253.7"/>
    <n v="162814"/>
    <n v="5427.1333333333332"/>
    <n v="366"/>
    <n v="432"/>
    <n v="157611"/>
    <n v="162814"/>
    <m/>
    <m/>
    <m/>
    <m/>
    <m/>
    <m/>
    <m/>
    <m/>
    <n v="0"/>
    <n v="0"/>
    <n v="0"/>
    <n v="0"/>
    <m/>
    <m/>
    <n v="0"/>
    <n v="0"/>
  </r>
  <r>
    <x v="4"/>
    <s v="Kennesaw State University"/>
    <n v="140164"/>
    <x v="3"/>
    <s v="sem"/>
    <s v="sem"/>
    <m/>
    <m/>
    <n v="210012"/>
    <n v="222311"/>
    <n v="64204"/>
    <n v="71042"/>
    <n v="232183"/>
    <n v="247637"/>
    <n v="506399"/>
    <n v="16879.966666666667"/>
    <n v="540990"/>
    <n v="18033"/>
    <n v="1953"/>
    <n v="2192"/>
    <n v="506399"/>
    <n v="540990"/>
    <m/>
    <m/>
    <m/>
    <m/>
    <m/>
    <m/>
    <m/>
    <m/>
    <n v="0"/>
    <n v="0"/>
    <n v="0"/>
    <n v="0"/>
    <m/>
    <m/>
    <n v="0"/>
    <n v="0"/>
  </r>
  <r>
    <x v="4"/>
    <s v="Augusta State University"/>
    <n v="138983"/>
    <x v="4"/>
    <s v="sem"/>
    <s v="sem"/>
    <m/>
    <m/>
    <n v="60974"/>
    <n v="62990"/>
    <n v="16813"/>
    <n v="18383"/>
    <n v="65869"/>
    <n v="69897"/>
    <n v="143656"/>
    <n v="4788.5333333333338"/>
    <n v="151270"/>
    <n v="5042.333333333333"/>
    <n v="736"/>
    <n v="737"/>
    <n v="143656"/>
    <n v="151270"/>
    <m/>
    <m/>
    <m/>
    <m/>
    <m/>
    <m/>
    <m/>
    <m/>
    <n v="0"/>
    <n v="0"/>
    <n v="0"/>
    <n v="0"/>
    <m/>
    <m/>
    <n v="0"/>
    <n v="0"/>
  </r>
  <r>
    <x v="4"/>
    <s v="Fort Valley State University"/>
    <n v="139719"/>
    <x v="4"/>
    <s v="sem"/>
    <s v="sem"/>
    <m/>
    <m/>
    <n v="30965"/>
    <n v="38152"/>
    <n v="7242"/>
    <n v="7342"/>
    <n v="40265"/>
    <n v="44814"/>
    <n v="78472"/>
    <n v="2615.7333333333331"/>
    <n v="90308"/>
    <n v="3010.2666666666669"/>
    <n v="105"/>
    <n v="125"/>
    <n v="78472"/>
    <n v="90308"/>
    <m/>
    <m/>
    <m/>
    <m/>
    <m/>
    <m/>
    <m/>
    <m/>
    <n v="0"/>
    <n v="0"/>
    <n v="0"/>
    <n v="0"/>
    <m/>
    <m/>
    <n v="0"/>
    <n v="0"/>
  </r>
  <r>
    <x v="4"/>
    <s v="Georgia Southwestern State University"/>
    <n v="139764"/>
    <x v="4"/>
    <s v="sem"/>
    <s v="sem"/>
    <m/>
    <m/>
    <n v="25149"/>
    <n v="27440"/>
    <n v="8776"/>
    <n v="9017"/>
    <n v="28960"/>
    <n v="31636"/>
    <n v="62885"/>
    <n v="2096.1666666666665"/>
    <n v="68093"/>
    <n v="2269.7666666666669"/>
    <n v="401"/>
    <n v="487"/>
    <n v="62885"/>
    <n v="68093"/>
    <m/>
    <m/>
    <m/>
    <m/>
    <m/>
    <m/>
    <m/>
    <m/>
    <n v="0"/>
    <n v="0"/>
    <n v="0"/>
    <n v="0"/>
    <m/>
    <m/>
    <n v="0"/>
    <n v="0"/>
  </r>
  <r>
    <x v="4"/>
    <s v="North Georgia College and State University"/>
    <n v="140669"/>
    <x v="4"/>
    <s v="sem"/>
    <s v="sem"/>
    <m/>
    <m/>
    <n v="56558"/>
    <n v="59565"/>
    <n v="11685"/>
    <n v="12728"/>
    <n v="61500"/>
    <n v="63252"/>
    <n v="129743"/>
    <n v="4324.7666666666664"/>
    <n v="135545"/>
    <n v="4518.166666666667"/>
    <n v="189"/>
    <n v="275"/>
    <n v="129743"/>
    <n v="135545"/>
    <m/>
    <m/>
    <m/>
    <m/>
    <m/>
    <m/>
    <m/>
    <m/>
    <n v="0"/>
    <n v="0"/>
    <n v="0"/>
    <n v="0"/>
    <m/>
    <m/>
    <n v="0"/>
    <n v="0"/>
  </r>
  <r>
    <x v="4"/>
    <s v="Savannah State University"/>
    <n v="140960"/>
    <x v="4"/>
    <s v="sem"/>
    <s v="sem"/>
    <m/>
    <m/>
    <n v="37883"/>
    <n v="44080"/>
    <n v="9232"/>
    <n v="9512"/>
    <n v="44929"/>
    <n v="49160"/>
    <n v="92044"/>
    <n v="3068.1333333333332"/>
    <n v="102752"/>
    <n v="3425.0666666666666"/>
    <n v="221"/>
    <n v="440"/>
    <n v="92044"/>
    <n v="102752"/>
    <m/>
    <m/>
    <m/>
    <m/>
    <m/>
    <m/>
    <m/>
    <m/>
    <n v="0"/>
    <n v="0"/>
    <n v="0"/>
    <n v="0"/>
    <m/>
    <m/>
    <n v="0"/>
    <n v="0"/>
  </r>
  <r>
    <x v="4"/>
    <s v="Clayton State University"/>
    <n v="139311"/>
    <x v="5"/>
    <s v="sem"/>
    <s v="sem"/>
    <m/>
    <m/>
    <n v="61913"/>
    <n v="65204"/>
    <n v="23273"/>
    <n v="25267"/>
    <n v="63680"/>
    <n v="69309"/>
    <n v="148866"/>
    <n v="4962.2"/>
    <n v="159780"/>
    <n v="5326"/>
    <n v="2599"/>
    <n v="3246"/>
    <n v="148866"/>
    <n v="159780"/>
    <m/>
    <m/>
    <m/>
    <m/>
    <m/>
    <m/>
    <m/>
    <m/>
    <n v="0"/>
    <n v="0"/>
    <n v="0"/>
    <n v="0"/>
    <m/>
    <m/>
    <n v="0"/>
    <n v="0"/>
  </r>
  <r>
    <x v="4"/>
    <s v="Macon State College "/>
    <n v="140322"/>
    <x v="5"/>
    <s v="sem"/>
    <s v="sem"/>
    <m/>
    <m/>
    <n v="59003"/>
    <n v="62510"/>
    <n v="23920"/>
    <n v="23997"/>
    <n v="63523"/>
    <n v="67388"/>
    <n v="146446"/>
    <n v="4881.5333333333338"/>
    <n v="153895"/>
    <n v="5129.833333333333"/>
    <n v="794"/>
    <n v="743"/>
    <n v="146446"/>
    <n v="153895"/>
    <m/>
    <m/>
    <m/>
    <m/>
    <m/>
    <m/>
    <m/>
    <m/>
    <n v="0"/>
    <n v="0"/>
    <n v="0"/>
    <n v="0"/>
    <m/>
    <m/>
    <n v="0"/>
    <n v="0"/>
  </r>
  <r>
    <x v="4"/>
    <s v="Dalton State College "/>
    <n v="139463"/>
    <x v="11"/>
    <s v="sem"/>
    <s v="sem"/>
    <m/>
    <m/>
    <n v="41952"/>
    <n v="49502"/>
    <n v="12194"/>
    <n v="14358"/>
    <n v="50966"/>
    <n v="61264"/>
    <n v="105112"/>
    <n v="3503.7333333333331"/>
    <n v="125124"/>
    <n v="4170.8"/>
    <n v="906"/>
    <n v="1065"/>
    <n v="105112"/>
    <n v="125124"/>
    <m/>
    <m/>
    <m/>
    <m/>
    <m/>
    <m/>
    <m/>
    <m/>
    <n v="0"/>
    <n v="0"/>
    <n v="0"/>
    <n v="0"/>
    <m/>
    <m/>
    <n v="0"/>
    <n v="0"/>
  </r>
  <r>
    <x v="4"/>
    <s v="Georgia Perimeter College "/>
    <n v="244437"/>
    <x v="6"/>
    <s v="sem"/>
    <s v="sem"/>
    <m/>
    <m/>
    <n v="202370"/>
    <n v="225921"/>
    <n v="79386"/>
    <n v="92228"/>
    <n v="215707"/>
    <n v="240833"/>
    <n v="497463"/>
    <n v="16582.099999999999"/>
    <n v="558982"/>
    <n v="18632.733333333334"/>
    <n v="9330"/>
    <n v="9003"/>
    <n v="497463"/>
    <n v="558982"/>
    <m/>
    <m/>
    <m/>
    <m/>
    <m/>
    <m/>
    <m/>
    <m/>
    <n v="0"/>
    <n v="0"/>
    <n v="0"/>
    <n v="0"/>
    <m/>
    <m/>
    <n v="0"/>
    <n v="0"/>
  </r>
  <r>
    <x v="4"/>
    <s v="Abraham Baldwin Agricultural College "/>
    <n v="138558"/>
    <x v="7"/>
    <s v="sem"/>
    <s v="sem"/>
    <m/>
    <m/>
    <n v="36552"/>
    <n v="37753"/>
    <n v="7671"/>
    <n v="8238"/>
    <n v="41998"/>
    <n v="39550"/>
    <n v="86221"/>
    <n v="2874.0333333333333"/>
    <n v="85541"/>
    <n v="2851.3666666666668"/>
    <n v="399"/>
    <n v="296"/>
    <n v="86221"/>
    <n v="85541"/>
    <m/>
    <m/>
    <m/>
    <m/>
    <m/>
    <m/>
    <m/>
    <m/>
    <n v="0"/>
    <n v="0"/>
    <n v="0"/>
    <n v="0"/>
    <m/>
    <m/>
    <n v="0"/>
    <n v="0"/>
  </r>
  <r>
    <x v="4"/>
    <s v="Bainbridge College "/>
    <n v="139010"/>
    <x v="7"/>
    <s v="sem"/>
    <s v="sem"/>
    <m/>
    <m/>
    <n v="25200"/>
    <n v="31046"/>
    <n v="12440"/>
    <n v="17788"/>
    <n v="29642"/>
    <n v="36256"/>
    <n v="67282"/>
    <n v="2242.7333333333331"/>
    <n v="85090"/>
    <n v="2836.3333333333335"/>
    <n v="3310"/>
    <n v="2400"/>
    <n v="67282"/>
    <n v="85090"/>
    <m/>
    <m/>
    <m/>
    <m/>
    <m/>
    <m/>
    <m/>
    <m/>
    <n v="0"/>
    <n v="0"/>
    <n v="0"/>
    <n v="0"/>
    <m/>
    <m/>
    <n v="0"/>
    <n v="0"/>
  </r>
  <r>
    <x v="4"/>
    <s v="College of Coastal Georgia "/>
    <n v="139250"/>
    <x v="7"/>
    <s v="sem"/>
    <s v="sem"/>
    <m/>
    <m/>
    <n v="24689.5"/>
    <n v="25361"/>
    <n v="8288"/>
    <n v="7889"/>
    <n v="26820"/>
    <n v="30745"/>
    <n v="59797.5"/>
    <n v="1993.25"/>
    <n v="63995"/>
    <n v="2133.1666666666665"/>
    <n v="549"/>
    <n v="377"/>
    <n v="59797.5"/>
    <n v="63995"/>
    <m/>
    <m/>
    <m/>
    <m/>
    <m/>
    <m/>
    <m/>
    <m/>
    <n v="0"/>
    <n v="0"/>
    <n v="0"/>
    <n v="0"/>
    <m/>
    <m/>
    <n v="0"/>
    <n v="0"/>
  </r>
  <r>
    <x v="4"/>
    <s v="Darton College "/>
    <n v="138691"/>
    <x v="7"/>
    <s v="sem"/>
    <s v="sem"/>
    <m/>
    <m/>
    <n v="42553.5"/>
    <n v="46162"/>
    <n v="21883"/>
    <n v="25986"/>
    <n v="49620.5"/>
    <n v="59081"/>
    <n v="114057"/>
    <n v="3801.9"/>
    <n v="131229"/>
    <n v="4374.3"/>
    <n v="855"/>
    <n v="686.5"/>
    <n v="114057"/>
    <n v="131229"/>
    <m/>
    <m/>
    <m/>
    <m/>
    <m/>
    <m/>
    <m/>
    <m/>
    <n v="0"/>
    <n v="0"/>
    <n v="0"/>
    <n v="0"/>
    <m/>
    <m/>
    <n v="0"/>
    <n v="0"/>
  </r>
  <r>
    <x v="4"/>
    <s v="Gainesville State College "/>
    <n v="139773"/>
    <x v="7"/>
    <s v="sem"/>
    <s v="sem"/>
    <m/>
    <m/>
    <n v="76439"/>
    <n v="84451"/>
    <n v="19237"/>
    <n v="20500"/>
    <n v="91517"/>
    <n v="98727"/>
    <n v="187193"/>
    <n v="6239.7666666666664"/>
    <n v="203678"/>
    <n v="6789.2666666666664"/>
    <n v="1415"/>
    <n v="1636"/>
    <n v="187193"/>
    <n v="203678"/>
    <m/>
    <m/>
    <m/>
    <m/>
    <m/>
    <m/>
    <m/>
    <m/>
    <n v="0"/>
    <n v="0"/>
    <n v="0"/>
    <n v="0"/>
    <m/>
    <m/>
    <n v="0"/>
    <n v="0"/>
  </r>
  <r>
    <x v="4"/>
    <s v="Georgia Highlands College"/>
    <n v="139700"/>
    <x v="7"/>
    <s v="sem"/>
    <s v="sem"/>
    <m/>
    <m/>
    <n v="43495"/>
    <n v="48501"/>
    <n v="11293"/>
    <n v="13494"/>
    <n v="48965"/>
    <n v="55975"/>
    <n v="103753"/>
    <n v="3458.4333333333334"/>
    <n v="117970"/>
    <n v="3932.3333333333335"/>
    <n v="849"/>
    <n v="780"/>
    <n v="103753"/>
    <n v="117970"/>
    <m/>
    <m/>
    <m/>
    <m/>
    <m/>
    <m/>
    <m/>
    <m/>
    <n v="0"/>
    <n v="0"/>
    <n v="0"/>
    <n v="0"/>
    <m/>
    <m/>
    <n v="0"/>
    <n v="0"/>
  </r>
  <r>
    <x v="4"/>
    <s v="Gordon College "/>
    <n v="139968"/>
    <x v="7"/>
    <s v="sem"/>
    <s v="sem"/>
    <m/>
    <m/>
    <n v="38237"/>
    <n v="44063"/>
    <n v="7129"/>
    <n v="8302"/>
    <n v="45210"/>
    <n v="54343"/>
    <n v="90576"/>
    <n v="3019.2"/>
    <n v="106708"/>
    <n v="3556.9333333333334"/>
    <n v="658"/>
    <n v="451"/>
    <n v="90576"/>
    <n v="106708"/>
    <m/>
    <m/>
    <m/>
    <m/>
    <m/>
    <m/>
    <m/>
    <m/>
    <n v="0"/>
    <n v="0"/>
    <n v="0"/>
    <n v="0"/>
    <m/>
    <m/>
    <n v="0"/>
    <n v="0"/>
  </r>
  <r>
    <x v="4"/>
    <s v="Middle Georgia College "/>
    <n v="140483"/>
    <x v="7"/>
    <s v="sem"/>
    <s v="sem"/>
    <m/>
    <m/>
    <n v="36036"/>
    <n v="37778"/>
    <n v="10482"/>
    <n v="12090"/>
    <n v="38649"/>
    <n v="42607"/>
    <n v="85167"/>
    <n v="2838.9"/>
    <n v="92475"/>
    <n v="3082.5"/>
    <n v="3542"/>
    <n v="3561"/>
    <n v="85167"/>
    <n v="92475"/>
    <m/>
    <m/>
    <m/>
    <m/>
    <m/>
    <m/>
    <m/>
    <m/>
    <n v="0"/>
    <n v="0"/>
    <n v="0"/>
    <n v="0"/>
    <m/>
    <m/>
    <n v="0"/>
    <n v="0"/>
  </r>
  <r>
    <x v="4"/>
    <s v="Atlanta Metropolitan College"/>
    <n v="138901"/>
    <x v="8"/>
    <s v="sem"/>
    <s v="sem"/>
    <m/>
    <m/>
    <n v="20845"/>
    <n v="25125"/>
    <n v="9182"/>
    <n v="10406"/>
    <n v="23644"/>
    <n v="30323"/>
    <n v="53671"/>
    <n v="1789.0333333333333"/>
    <n v="65854"/>
    <n v="2195.1333333333332"/>
    <n v="225"/>
    <n v="46"/>
    <n v="53671"/>
    <n v="65854"/>
    <m/>
    <m/>
    <m/>
    <m/>
    <m/>
    <m/>
    <m/>
    <m/>
    <n v="0"/>
    <n v="0"/>
    <n v="0"/>
    <n v="0"/>
    <m/>
    <m/>
    <n v="0"/>
    <n v="0"/>
  </r>
  <r>
    <x v="4"/>
    <s v="East Georgia College"/>
    <n v="139621"/>
    <x v="8"/>
    <s v="sem"/>
    <s v="sem"/>
    <m/>
    <m/>
    <n v="22043"/>
    <n v="28874"/>
    <n v="5889"/>
    <n v="6773"/>
    <n v="29401"/>
    <n v="31818"/>
    <n v="57333"/>
    <n v="1911.1"/>
    <n v="67465"/>
    <n v="2248.8333333333335"/>
    <n v="311"/>
    <n v="337"/>
    <n v="57333"/>
    <n v="67465"/>
    <m/>
    <m/>
    <m/>
    <m/>
    <m/>
    <m/>
    <m/>
    <m/>
    <n v="0"/>
    <n v="0"/>
    <n v="0"/>
    <n v="0"/>
    <m/>
    <m/>
    <n v="0"/>
    <n v="0"/>
  </r>
  <r>
    <x v="4"/>
    <s v="South Georgia College "/>
    <n v="140997"/>
    <x v="8"/>
    <s v="sem"/>
    <s v="sem"/>
    <m/>
    <m/>
    <n v="19237"/>
    <n v="20376"/>
    <n v="5053"/>
    <n v="5898"/>
    <n v="22140"/>
    <n v="24196"/>
    <n v="46430"/>
    <n v="1547.6666666666667"/>
    <n v="50470"/>
    <n v="1682.3333333333333"/>
    <n v="363"/>
    <n v="262"/>
    <n v="46430"/>
    <n v="50470"/>
    <m/>
    <m/>
    <m/>
    <m/>
    <m/>
    <m/>
    <m/>
    <m/>
    <n v="0"/>
    <n v="0"/>
    <n v="0"/>
    <n v="0"/>
    <m/>
    <m/>
    <n v="0"/>
    <n v="0"/>
  </r>
  <r>
    <x v="4"/>
    <s v="Waycross College "/>
    <n v="141307"/>
    <x v="8"/>
    <s v="sem"/>
    <s v="sem"/>
    <m/>
    <m/>
    <n v="8119"/>
    <n v="8944"/>
    <n v="2632"/>
    <n v="3658"/>
    <n v="8948"/>
    <n v="10694"/>
    <n v="19699"/>
    <n v="656.63333333333333"/>
    <n v="23296"/>
    <n v="776.5333333333333"/>
    <n v="544"/>
    <n v="887"/>
    <n v="19699"/>
    <n v="23296"/>
    <m/>
    <m/>
    <m/>
    <m/>
    <m/>
    <m/>
    <m/>
    <m/>
    <n v="0"/>
    <n v="0"/>
    <n v="0"/>
    <n v="0"/>
    <m/>
    <m/>
    <n v="0"/>
    <n v="0"/>
  </r>
  <r>
    <x v="4"/>
    <s v="Georgia Gwinnett College"/>
    <n v="447689"/>
    <x v="12"/>
    <s v="sem"/>
    <s v="sem"/>
    <m/>
    <m/>
    <n v="10164"/>
    <n v="18368"/>
    <n v="2665"/>
    <n v="5394"/>
    <n v="18150"/>
    <n v="34405"/>
    <n v="30979"/>
    <n v="1032.6333333333334"/>
    <n v="58167"/>
    <n v="1938.9"/>
    <m/>
    <n v="458"/>
    <n v="0"/>
    <n v="58167"/>
    <m/>
    <m/>
    <m/>
    <m/>
    <m/>
    <m/>
    <m/>
    <m/>
    <n v="0"/>
    <n v="0"/>
    <n v="0"/>
    <n v="0"/>
    <m/>
    <m/>
    <n v="0"/>
    <n v="0"/>
  </r>
  <r>
    <x v="4"/>
    <s v="Albany Technical College"/>
    <n v="138682"/>
    <x v="9"/>
    <s v="quar"/>
    <s v="Quarter"/>
    <n v="30723"/>
    <n v="34661"/>
    <n v="30296"/>
    <n v="36454"/>
    <n v="25771"/>
    <n v="36751"/>
    <n v="35841"/>
    <n v="49467"/>
    <n v="122631"/>
    <n v="2725.1333333333332"/>
    <n v="157333"/>
    <n v="3496.2888888888888"/>
    <n v="772"/>
    <n v="609"/>
    <n v="122631"/>
    <n v="157333"/>
    <m/>
    <m/>
    <m/>
    <m/>
    <m/>
    <m/>
    <m/>
    <m/>
    <n v="0"/>
    <n v="0"/>
    <n v="0"/>
    <n v="0"/>
    <m/>
    <m/>
    <n v="0"/>
    <n v="0"/>
  </r>
  <r>
    <x v="4"/>
    <s v="Athens Technical College"/>
    <n v="246813"/>
    <x v="9"/>
    <s v="quar"/>
    <s v="Quarter"/>
    <n v="37721"/>
    <n v="39603"/>
    <n v="34707"/>
    <n v="38367"/>
    <n v="19584"/>
    <n v="24731"/>
    <n v="41236"/>
    <n v="52419"/>
    <n v="133248"/>
    <n v="2961.0666666666666"/>
    <n v="155120"/>
    <n v="3447.1111111111113"/>
    <n v="2034"/>
    <n v="1291"/>
    <n v="133248"/>
    <n v="155120"/>
    <m/>
    <m/>
    <m/>
    <m/>
    <m/>
    <m/>
    <m/>
    <m/>
    <n v="0"/>
    <n v="0"/>
    <n v="0"/>
    <n v="0"/>
    <m/>
    <m/>
    <n v="0"/>
    <n v="0"/>
  </r>
  <r>
    <x v="4"/>
    <s v="Atlanta Technical College"/>
    <n v="138840"/>
    <x v="9"/>
    <s v="quar"/>
    <s v="Quarter"/>
    <n v="36958"/>
    <n v="37598"/>
    <n v="35226"/>
    <n v="42235"/>
    <n v="28404"/>
    <n v="39492"/>
    <n v="36532"/>
    <n v="53336"/>
    <n v="137120"/>
    <n v="3047.1111111111113"/>
    <n v="172661"/>
    <n v="3836.911111111111"/>
    <n v="2104"/>
    <n v="2854"/>
    <n v="137120"/>
    <n v="172661"/>
    <m/>
    <m/>
    <m/>
    <m/>
    <m/>
    <m/>
    <m/>
    <m/>
    <n v="0"/>
    <n v="0"/>
    <n v="0"/>
    <n v="0"/>
    <m/>
    <m/>
    <n v="0"/>
    <n v="0"/>
  </r>
  <r>
    <x v="4"/>
    <s v="Augusta Technical College"/>
    <n v="138956"/>
    <x v="9"/>
    <s v="quar"/>
    <s v="Quarter"/>
    <n v="46224"/>
    <n v="46433"/>
    <n v="43305"/>
    <n v="45499"/>
    <n v="33391"/>
    <n v="36450"/>
    <n v="51563"/>
    <n v="54892"/>
    <n v="174483"/>
    <n v="3877.4"/>
    <n v="183274"/>
    <n v="4072.7555555555555"/>
    <n v="1651"/>
    <n v="1111"/>
    <n v="174483"/>
    <n v="183274"/>
    <m/>
    <m/>
    <m/>
    <m/>
    <m/>
    <m/>
    <m/>
    <m/>
    <n v="0"/>
    <n v="0"/>
    <n v="0"/>
    <n v="0"/>
    <m/>
    <m/>
    <n v="0"/>
    <n v="0"/>
  </r>
  <r>
    <x v="4"/>
    <s v="Central Georgia Technical College"/>
    <n v="140304"/>
    <x v="9"/>
    <s v="quar"/>
    <s v="Quarter"/>
    <n v="51449"/>
    <n v="60780"/>
    <n v="47131"/>
    <n v="61231"/>
    <n v="40738"/>
    <n v="53249"/>
    <n v="58962"/>
    <n v="77433"/>
    <n v="198280"/>
    <n v="4406.2222222222226"/>
    <n v="252693"/>
    <n v="5615.4"/>
    <n v="3520"/>
    <n v="3806"/>
    <n v="198280"/>
    <n v="252693"/>
    <m/>
    <m/>
    <m/>
    <m/>
    <m/>
    <m/>
    <m/>
    <m/>
    <n v="0"/>
    <n v="0"/>
    <n v="0"/>
    <n v="0"/>
    <m/>
    <m/>
    <n v="0"/>
    <n v="0"/>
  </r>
  <r>
    <x v="4"/>
    <s v="Chattahoochee Technical College"/>
    <n v="140331"/>
    <x v="9"/>
    <s v="quar"/>
    <s v="Quarter"/>
    <n v="84548"/>
    <n v="95125"/>
    <n v="84279"/>
    <n v="94591"/>
    <n v="56404"/>
    <n v="73900"/>
    <n v="98964"/>
    <n v="124065"/>
    <n v="324195"/>
    <n v="7204.333333333333"/>
    <n v="387681"/>
    <n v="8615.1333333333332"/>
    <n v="11864.8"/>
    <n v="3279"/>
    <n v="324195"/>
    <n v="387681"/>
    <m/>
    <m/>
    <m/>
    <m/>
    <m/>
    <m/>
    <m/>
    <m/>
    <n v="0"/>
    <n v="0"/>
    <n v="0"/>
    <n v="0"/>
    <m/>
    <m/>
    <n v="0"/>
    <n v="0"/>
  </r>
  <r>
    <x v="4"/>
    <s v="Columbus Technical College"/>
    <n v="139357"/>
    <x v="9"/>
    <s v="quar"/>
    <s v="Quarter"/>
    <n v="34241"/>
    <n v="35125"/>
    <n v="32544"/>
    <n v="34104"/>
    <n v="28247"/>
    <n v="28614"/>
    <n v="37258"/>
    <n v="42131"/>
    <n v="132290"/>
    <n v="2939.7777777777778"/>
    <n v="139974"/>
    <n v="3110.5333333333333"/>
    <n v="3100"/>
    <n v="2339"/>
    <n v="132290"/>
    <n v="139974"/>
    <m/>
    <m/>
    <m/>
    <m/>
    <m/>
    <m/>
    <m/>
    <m/>
    <n v="0"/>
    <n v="0"/>
    <n v="0"/>
    <n v="0"/>
    <m/>
    <m/>
    <n v="0"/>
    <n v="0"/>
  </r>
  <r>
    <x v="4"/>
    <s v="DeKalb Technical College"/>
    <n v="244446"/>
    <x v="9"/>
    <s v="quar"/>
    <s v="Quarter"/>
    <n v="37223"/>
    <n v="41937"/>
    <n v="35850"/>
    <n v="41882"/>
    <n v="30239"/>
    <n v="35943"/>
    <n v="40825"/>
    <n v="50354"/>
    <n v="144137"/>
    <n v="3203.0444444444443"/>
    <n v="170116"/>
    <n v="3780.3555555555554"/>
    <n v="3102.6"/>
    <n v="1983.1"/>
    <n v="144137"/>
    <n v="170116"/>
    <m/>
    <m/>
    <m/>
    <m/>
    <m/>
    <m/>
    <m/>
    <m/>
    <n v="0"/>
    <n v="0"/>
    <n v="0"/>
    <n v="0"/>
    <m/>
    <m/>
    <n v="0"/>
    <n v="0"/>
  </r>
  <r>
    <x v="4"/>
    <s v="East Central Technical College"/>
    <n v="139126"/>
    <x v="9"/>
    <s v="quar"/>
    <s v="Quarter"/>
    <n v="12578"/>
    <n v="14364"/>
    <n v="11822"/>
    <n v="14917"/>
    <n v="10447"/>
    <n v="15583"/>
    <n v="15667"/>
    <n v="20104"/>
    <n v="50514"/>
    <n v="1122.5333333333333"/>
    <n v="64968"/>
    <n v="1443.7333333333333"/>
    <n v="3560"/>
    <n v="3501"/>
    <n v="50514"/>
    <n v="64968"/>
    <m/>
    <m/>
    <m/>
    <m/>
    <m/>
    <m/>
    <m/>
    <m/>
    <n v="0"/>
    <n v="0"/>
    <n v="0"/>
    <n v="0"/>
    <m/>
    <m/>
    <n v="0"/>
    <n v="0"/>
  </r>
  <r>
    <x v="4"/>
    <s v="Georgia Northwestern Technical College"/>
    <n v="139384"/>
    <x v="9"/>
    <s v="quar"/>
    <s v="Quarter"/>
    <n v="49103"/>
    <n v="56622"/>
    <n v="46420"/>
    <n v="56851"/>
    <n v="36829"/>
    <n v="46043"/>
    <n v="56390"/>
    <n v="66836"/>
    <n v="188742"/>
    <n v="4194.2666666666664"/>
    <n v="226352"/>
    <n v="5030.0444444444447"/>
    <n v="4518"/>
    <n v="5358"/>
    <n v="188742"/>
    <n v="226352"/>
    <m/>
    <m/>
    <m/>
    <m/>
    <m/>
    <m/>
    <m/>
    <m/>
    <n v="0"/>
    <n v="0"/>
    <n v="0"/>
    <n v="0"/>
    <m/>
    <m/>
    <n v="0"/>
    <n v="0"/>
  </r>
  <r>
    <x v="4"/>
    <s v="Griffin Technical College"/>
    <n v="139986"/>
    <x v="9"/>
    <s v="quar"/>
    <s v="Quarter"/>
    <n v="40837"/>
    <n v="44781"/>
    <n v="38777"/>
    <n v="45323"/>
    <n v="32106"/>
    <n v="37882"/>
    <n v="44413"/>
    <n v="57334"/>
    <n v="156133"/>
    <n v="3469.6222222222223"/>
    <n v="185320"/>
    <n v="4118.2222222222226"/>
    <n v="3498"/>
    <n v="3403"/>
    <n v="156133"/>
    <n v="185320"/>
    <m/>
    <m/>
    <m/>
    <m/>
    <m/>
    <m/>
    <m/>
    <m/>
    <n v="0"/>
    <n v="0"/>
    <n v="0"/>
    <n v="0"/>
    <m/>
    <m/>
    <n v="0"/>
    <n v="0"/>
  </r>
  <r>
    <x v="4"/>
    <s v="Gwinnett Technical College"/>
    <n v="140012"/>
    <x v="9"/>
    <s v="quar"/>
    <s v="Quarter"/>
    <n v="50175"/>
    <n v="56083"/>
    <n v="49317"/>
    <n v="56898"/>
    <n v="35130"/>
    <n v="44317"/>
    <n v="59232"/>
    <n v="72514"/>
    <n v="193854"/>
    <n v="4307.8666666666668"/>
    <n v="229812"/>
    <n v="5106.9333333333334"/>
    <n v="325"/>
    <n v="263"/>
    <n v="193854"/>
    <n v="229812"/>
    <m/>
    <m/>
    <m/>
    <m/>
    <m/>
    <m/>
    <m/>
    <m/>
    <n v="0"/>
    <n v="0"/>
    <n v="0"/>
    <n v="0"/>
    <m/>
    <m/>
    <n v="0"/>
    <n v="0"/>
  </r>
  <r>
    <x v="4"/>
    <s v="Heart of Georgia Technical College"/>
    <n v="140076"/>
    <x v="9"/>
    <s v="quar"/>
    <s v="Quarter"/>
    <n v="12439"/>
    <n v="14790"/>
    <n v="11909"/>
    <n v="14140"/>
    <n v="10748"/>
    <n v="14096"/>
    <n v="14930"/>
    <n v="17502"/>
    <n v="50026"/>
    <n v="1111.6888888888889"/>
    <n v="60528"/>
    <n v="1345.0666666666666"/>
    <n v="6170"/>
    <n v="5291"/>
    <n v="50026"/>
    <n v="60528"/>
    <m/>
    <m/>
    <m/>
    <m/>
    <m/>
    <m/>
    <m/>
    <m/>
    <n v="0"/>
    <n v="0"/>
    <n v="0"/>
    <n v="0"/>
    <m/>
    <m/>
    <n v="0"/>
    <n v="0"/>
  </r>
  <r>
    <x v="4"/>
    <s v="Lanier Technical College"/>
    <n v="140243"/>
    <x v="9"/>
    <s v="quar"/>
    <s v="Quarter"/>
    <n v="31781"/>
    <n v="31987.5"/>
    <n v="28350"/>
    <n v="33633"/>
    <n v="22929"/>
    <n v="29674"/>
    <n v="30690.5"/>
    <n v="41090"/>
    <n v="113750.5"/>
    <n v="2527.7888888888888"/>
    <n v="136384.5"/>
    <n v="3030.7666666666669"/>
    <n v="2786.5"/>
    <n v="2460.5"/>
    <n v="113750.5"/>
    <n v="136384.5"/>
    <m/>
    <m/>
    <m/>
    <m/>
    <m/>
    <m/>
    <m/>
    <m/>
    <n v="0"/>
    <n v="0"/>
    <n v="0"/>
    <n v="0"/>
    <m/>
    <m/>
    <n v="0"/>
    <n v="0"/>
  </r>
  <r>
    <x v="4"/>
    <s v="Middle Georgia Technical College"/>
    <n v="140085"/>
    <x v="9"/>
    <s v="quar"/>
    <s v="Quarter"/>
    <n v="29826"/>
    <n v="31598"/>
    <n v="30405"/>
    <n v="31922"/>
    <n v="23566"/>
    <n v="30382"/>
    <n v="29831"/>
    <n v="43066"/>
    <n v="113628"/>
    <n v="2525.0666666666666"/>
    <n v="136968"/>
    <n v="3043.7333333333331"/>
    <n v="6183"/>
    <n v="6351"/>
    <n v="113628"/>
    <n v="136968"/>
    <m/>
    <m/>
    <m/>
    <m/>
    <m/>
    <m/>
    <m/>
    <m/>
    <n v="0"/>
    <n v="0"/>
    <n v="0"/>
    <n v="0"/>
    <m/>
    <m/>
    <n v="0"/>
    <n v="0"/>
  </r>
  <r>
    <x v="4"/>
    <s v="Moultrie Technical College"/>
    <n v="140599"/>
    <x v="9"/>
    <s v="quar"/>
    <s v="Quarter"/>
    <n v="20992"/>
    <n v="23253"/>
    <n v="19199"/>
    <n v="23373"/>
    <n v="17239"/>
    <n v="20975"/>
    <n v="24359"/>
    <n v="27636"/>
    <n v="81789"/>
    <n v="1817.5333333333333"/>
    <n v="95237"/>
    <n v="2116.3777777777777"/>
    <n v="9166"/>
    <n v="7181"/>
    <n v="81789"/>
    <n v="95237"/>
    <m/>
    <m/>
    <m/>
    <m/>
    <m/>
    <m/>
    <m/>
    <m/>
    <n v="0"/>
    <n v="0"/>
    <n v="0"/>
    <n v="0"/>
    <m/>
    <m/>
    <n v="0"/>
    <n v="0"/>
  </r>
  <r>
    <x v="4"/>
    <s v="North Georgia Technical College"/>
    <n v="140678"/>
    <x v="9"/>
    <s v="quar"/>
    <s v="Quarter"/>
    <n v="22413"/>
    <n v="26807"/>
    <n v="21175"/>
    <n v="26931"/>
    <n v="18541"/>
    <n v="24439"/>
    <n v="25318"/>
    <n v="35524"/>
    <n v="87447"/>
    <n v="1943.2666666666667"/>
    <n v="113701"/>
    <n v="2526.6888888888889"/>
    <n v="972.1"/>
    <n v="1255.9000000000001"/>
    <n v="87447"/>
    <n v="113701"/>
    <m/>
    <m/>
    <m/>
    <m/>
    <m/>
    <m/>
    <m/>
    <m/>
    <n v="0"/>
    <n v="0"/>
    <n v="0"/>
    <n v="0"/>
    <m/>
    <m/>
    <n v="0"/>
    <n v="0"/>
  </r>
  <r>
    <x v="4"/>
    <s v="Ogeechee Technical College"/>
    <n v="366465"/>
    <x v="9"/>
    <s v="quar"/>
    <s v="Quarter"/>
    <n v="19476"/>
    <n v="22573"/>
    <n v="17850"/>
    <n v="22053"/>
    <n v="13572"/>
    <n v="19286"/>
    <n v="20739"/>
    <n v="27202"/>
    <n v="71637"/>
    <n v="1591.9333333333334"/>
    <n v="91114"/>
    <n v="2024.7555555555555"/>
    <n v="1280"/>
    <n v="2307"/>
    <n v="71637"/>
    <n v="91114"/>
    <m/>
    <m/>
    <m/>
    <m/>
    <m/>
    <m/>
    <m/>
    <m/>
    <n v="0"/>
    <n v="0"/>
    <n v="0"/>
    <n v="0"/>
    <m/>
    <m/>
    <n v="0"/>
    <n v="0"/>
  </r>
  <r>
    <x v="4"/>
    <s v="Okefenokee Technical College"/>
    <n v="248776"/>
    <x v="9"/>
    <s v="quar"/>
    <s v="Quarter"/>
    <n v="13366"/>
    <n v="13790"/>
    <n v="12115"/>
    <n v="13765.5"/>
    <n v="10978"/>
    <n v="13274"/>
    <n v="14066"/>
    <n v="17358.5"/>
    <n v="50525"/>
    <n v="1122.7777777777778"/>
    <n v="58188"/>
    <n v="1293.0666666666666"/>
    <n v="3476"/>
    <n v="2615.5"/>
    <n v="50525"/>
    <n v="58188"/>
    <m/>
    <m/>
    <m/>
    <m/>
    <m/>
    <m/>
    <m/>
    <m/>
    <n v="0"/>
    <n v="0"/>
    <n v="0"/>
    <n v="0"/>
    <m/>
    <m/>
    <n v="0"/>
    <n v="0"/>
  </r>
  <r>
    <x v="4"/>
    <s v="Savannah Technical College"/>
    <n v="140942"/>
    <x v="9"/>
    <s v="quar"/>
    <s v="Quarter"/>
    <n v="43516"/>
    <n v="48813"/>
    <n v="41137"/>
    <n v="48202"/>
    <n v="35251"/>
    <n v="40328"/>
    <n v="49076"/>
    <n v="58996"/>
    <n v="168980"/>
    <n v="3755.1111111111113"/>
    <n v="196339"/>
    <n v="4363.0888888888885"/>
    <n v="4410"/>
    <n v="3342"/>
    <n v="168980"/>
    <n v="196339"/>
    <m/>
    <m/>
    <m/>
    <m/>
    <m/>
    <m/>
    <m/>
    <m/>
    <n v="0"/>
    <n v="0"/>
    <n v="0"/>
    <n v="0"/>
    <m/>
    <m/>
    <n v="0"/>
    <n v="0"/>
  </r>
  <r>
    <x v="4"/>
    <s v="South Georgia Technical College"/>
    <n v="141006"/>
    <x v="9"/>
    <s v="quar"/>
    <s v="Quarter"/>
    <n v="19548"/>
    <n v="24455"/>
    <n v="19291"/>
    <n v="23787"/>
    <n v="17501"/>
    <n v="23313"/>
    <n v="22969"/>
    <n v="30730"/>
    <n v="79309"/>
    <n v="1762.4222222222222"/>
    <n v="102285"/>
    <n v="2273"/>
    <n v="3627"/>
    <n v="3053"/>
    <n v="79309"/>
    <n v="102285"/>
    <m/>
    <m/>
    <m/>
    <m/>
    <m/>
    <m/>
    <m/>
    <m/>
    <n v="0"/>
    <n v="0"/>
    <n v="0"/>
    <n v="0"/>
    <m/>
    <m/>
    <n v="0"/>
    <n v="0"/>
  </r>
  <r>
    <x v="4"/>
    <s v="Southeastern Technical College"/>
    <n v="368911"/>
    <x v="9"/>
    <s v="quar"/>
    <s v="Quarter"/>
    <n v="15808"/>
    <n v="17279"/>
    <n v="15801"/>
    <n v="17517"/>
    <n v="13451"/>
    <n v="15513"/>
    <n v="17673"/>
    <n v="21178"/>
    <n v="62733"/>
    <n v="1394.0666666666666"/>
    <n v="71487"/>
    <n v="1588.6"/>
    <n v="3883"/>
    <n v="3807"/>
    <n v="62733"/>
    <n v="71487"/>
    <m/>
    <m/>
    <m/>
    <m/>
    <m/>
    <m/>
    <m/>
    <m/>
    <n v="0"/>
    <n v="0"/>
    <n v="0"/>
    <n v="0"/>
    <m/>
    <m/>
    <n v="0"/>
    <n v="0"/>
  </r>
  <r>
    <x v="4"/>
    <s v="Southwest Georgia Technical College"/>
    <n v="141158"/>
    <x v="9"/>
    <s v="quar"/>
    <s v="Quarter"/>
    <n v="12121.5"/>
    <n v="14119"/>
    <n v="10669"/>
    <n v="13408.2"/>
    <n v="10679"/>
    <n v="13089.2"/>
    <n v="14205.1"/>
    <n v="17447"/>
    <n v="47674.6"/>
    <n v="1059.4355555555555"/>
    <n v="58063.4"/>
    <n v="1290.2977777777778"/>
    <n v="4596.6000000000004"/>
    <n v="3546.7"/>
    <n v="47674.6"/>
    <n v="58063.4"/>
    <m/>
    <m/>
    <m/>
    <m/>
    <m/>
    <m/>
    <m/>
    <m/>
    <n v="0"/>
    <n v="0"/>
    <n v="0"/>
    <n v="0"/>
    <m/>
    <m/>
    <n v="0"/>
    <n v="0"/>
  </r>
  <r>
    <x v="4"/>
    <s v="Valdosta Technical College"/>
    <n v="141255"/>
    <x v="9"/>
    <s v="quar"/>
    <s v="Quarter"/>
    <n v="24887"/>
    <n v="27570"/>
    <n v="22317"/>
    <n v="26112"/>
    <n v="19855"/>
    <n v="27031"/>
    <n v="24989"/>
    <n v="39755"/>
    <n v="92048"/>
    <n v="2045.5111111111112"/>
    <n v="120468"/>
    <n v="2677.0666666666666"/>
    <n v="5452"/>
    <n v="4044"/>
    <n v="92048"/>
    <n v="120468"/>
    <m/>
    <m/>
    <m/>
    <m/>
    <m/>
    <m/>
    <m/>
    <m/>
    <n v="0"/>
    <n v="0"/>
    <n v="0"/>
    <n v="0"/>
    <m/>
    <m/>
    <n v="0"/>
    <n v="0"/>
  </r>
  <r>
    <x v="4"/>
    <s v="West Georgia Technical College"/>
    <n v="139278"/>
    <x v="9"/>
    <s v="quar"/>
    <s v="Quarter"/>
    <n v="49219"/>
    <n v="56799"/>
    <n v="46167"/>
    <n v="57881"/>
    <n v="36504"/>
    <n v="48349"/>
    <n v="56398"/>
    <n v="73402"/>
    <n v="188288"/>
    <n v="4184.1777777777779"/>
    <n v="236431"/>
    <n v="5254.0222222222219"/>
    <n v="8675"/>
    <n v="9982.7999999999993"/>
    <n v="188288"/>
    <n v="236431"/>
    <m/>
    <m/>
    <m/>
    <m/>
    <m/>
    <m/>
    <m/>
    <m/>
    <n v="0"/>
    <n v="0"/>
    <n v="0"/>
    <n v="0"/>
    <m/>
    <m/>
    <n v="0"/>
    <n v="0"/>
  </r>
  <r>
    <x v="4"/>
    <s v="Altamaha Technical College"/>
    <n v="366447"/>
    <x v="10"/>
    <s v="quar"/>
    <s v="Quarter"/>
    <n v="8528"/>
    <n v="8507"/>
    <n v="8177"/>
    <n v="9108"/>
    <n v="7112"/>
    <n v="12434"/>
    <n v="8984"/>
    <n v="16254"/>
    <n v="32801"/>
    <n v="728.91111111111115"/>
    <n v="46303"/>
    <n v="1028.9555555555555"/>
    <n v="2109"/>
    <n v="3586.6"/>
    <n v="32801"/>
    <n v="46303"/>
    <m/>
    <m/>
    <m/>
    <m/>
    <m/>
    <m/>
    <m/>
    <m/>
    <n v="0"/>
    <n v="0"/>
    <n v="0"/>
    <n v="0"/>
    <m/>
    <m/>
    <n v="0"/>
    <n v="0"/>
  </r>
  <r>
    <x v="4"/>
    <s v="Flint River Technical College"/>
    <n v="248794"/>
    <x v="10"/>
    <s v="quar"/>
    <s v="Quarter"/>
    <n v="9185"/>
    <n v="10096.799999999999"/>
    <n v="9073"/>
    <n v="10843.4"/>
    <n v="8428"/>
    <n v="8830.6"/>
    <n v="10473"/>
    <n v="10751.5"/>
    <n v="37159"/>
    <n v="825.75555555555559"/>
    <n v="40522.299999999996"/>
    <n v="900.49555555555548"/>
    <n v="1156"/>
    <n v="644"/>
    <n v="37159"/>
    <n v="40522.299999999996"/>
    <m/>
    <m/>
    <m/>
    <m/>
    <m/>
    <m/>
    <m/>
    <m/>
    <n v="0"/>
    <n v="0"/>
    <n v="0"/>
    <n v="0"/>
    <m/>
    <m/>
    <n v="0"/>
    <n v="0"/>
  </r>
  <r>
    <x v="4"/>
    <s v="Sandersville Technical College"/>
    <n v="420431"/>
    <x v="10"/>
    <s v="quar"/>
    <s v="Quarter"/>
    <n v="6349"/>
    <n v="7535"/>
    <n v="5833"/>
    <n v="7575"/>
    <n v="5712"/>
    <n v="8048"/>
    <n v="7671"/>
    <n v="10342"/>
    <n v="25565"/>
    <n v="568.11111111111109"/>
    <n v="33500"/>
    <n v="744.44444444444446"/>
    <n v="3714"/>
    <n v="4223"/>
    <n v="25565"/>
    <n v="33500"/>
    <m/>
    <m/>
    <m/>
    <m/>
    <m/>
    <m/>
    <m/>
    <m/>
    <n v="0"/>
    <n v="0"/>
    <n v="0"/>
    <n v="0"/>
    <m/>
    <m/>
    <n v="0"/>
    <n v="0"/>
  </r>
  <r>
    <x v="5"/>
    <s v="University of Kentucky"/>
    <n v="157085"/>
    <x v="0"/>
    <s v="sem"/>
    <s v="sem"/>
    <m/>
    <m/>
    <n v="232649"/>
    <n v="237140"/>
    <n v="23528"/>
    <n v="23054"/>
    <n v="258465"/>
    <n v="261424"/>
    <n v="514642"/>
    <n v="17154.733333333334"/>
    <n v="521618"/>
    <n v="17387.266666666666"/>
    <n v="71"/>
    <n v="291"/>
    <n v="514642"/>
    <n v="521618"/>
    <m/>
    <m/>
    <m/>
    <m/>
    <m/>
    <m/>
    <m/>
    <m/>
    <n v="0"/>
    <n v="0"/>
    <n v="0"/>
    <n v="0"/>
    <m/>
    <m/>
    <n v="0"/>
    <n v="0"/>
  </r>
  <r>
    <x v="5"/>
    <s v="University of Louisville"/>
    <n v="157289"/>
    <x v="0"/>
    <s v="sem"/>
    <s v="sem"/>
    <m/>
    <m/>
    <n v="169329"/>
    <n v="170062"/>
    <n v="36471"/>
    <n v="34642"/>
    <n v="182122"/>
    <n v="184831"/>
    <n v="387922"/>
    <n v="12930.733333333334"/>
    <n v="389535"/>
    <n v="12984.5"/>
    <n v="1019"/>
    <n v="1052"/>
    <n v="387922"/>
    <n v="389535"/>
    <m/>
    <m/>
    <m/>
    <m/>
    <m/>
    <m/>
    <m/>
    <m/>
    <n v="0"/>
    <n v="0"/>
    <n v="0"/>
    <n v="0"/>
    <m/>
    <m/>
    <n v="0"/>
    <n v="0"/>
  </r>
  <r>
    <x v="5"/>
    <s v="Eastern Kentucky University "/>
    <n v="156620"/>
    <x v="2"/>
    <s v="sem"/>
    <s v="sem"/>
    <m/>
    <m/>
    <n v="162654"/>
    <n v="166304"/>
    <n v="22404"/>
    <n v="24021"/>
    <n v="178521"/>
    <n v="184706"/>
    <n v="363579"/>
    <n v="12119.3"/>
    <n v="375031"/>
    <n v="12501.033333333333"/>
    <n v="3251"/>
    <n v="3002"/>
    <n v="363579"/>
    <n v="375031"/>
    <m/>
    <m/>
    <m/>
    <m/>
    <m/>
    <m/>
    <m/>
    <m/>
    <n v="0"/>
    <n v="0"/>
    <n v="0"/>
    <n v="0"/>
    <m/>
    <m/>
    <n v="0"/>
    <n v="0"/>
  </r>
  <r>
    <x v="5"/>
    <s v="Murray State University "/>
    <n v="157401"/>
    <x v="2"/>
    <s v="sem"/>
    <s v="sem"/>
    <m/>
    <m/>
    <n v="103294"/>
    <n v="101357"/>
    <n v="12382"/>
    <n v="11044"/>
    <n v="110391"/>
    <n v="107502"/>
    <n v="226067"/>
    <n v="7535.5666666666666"/>
    <n v="219903"/>
    <n v="7330.1"/>
    <n v="1048"/>
    <n v="954"/>
    <n v="226067"/>
    <n v="219903"/>
    <m/>
    <m/>
    <m/>
    <m/>
    <m/>
    <m/>
    <m/>
    <m/>
    <n v="0"/>
    <n v="0"/>
    <n v="0"/>
    <n v="0"/>
    <m/>
    <m/>
    <n v="0"/>
    <n v="0"/>
  </r>
  <r>
    <x v="5"/>
    <s v="Western Kentucky University "/>
    <n v="157951"/>
    <x v="2"/>
    <s v="sem"/>
    <s v="sem"/>
    <m/>
    <m/>
    <n v="198343"/>
    <n v="206195"/>
    <n v="22630"/>
    <n v="22379"/>
    <n v="215647"/>
    <n v="224065"/>
    <n v="436620"/>
    <n v="14554"/>
    <n v="452639"/>
    <n v="15087.966666666667"/>
    <n v="10328"/>
    <n v="10770"/>
    <n v="436620"/>
    <n v="452639"/>
    <m/>
    <m/>
    <m/>
    <m/>
    <m/>
    <m/>
    <m/>
    <m/>
    <n v="0"/>
    <n v="0"/>
    <n v="0"/>
    <n v="0"/>
    <m/>
    <m/>
    <n v="0"/>
    <n v="0"/>
  </r>
  <r>
    <x v="5"/>
    <s v="Morehead State University "/>
    <n v="157386"/>
    <x v="3"/>
    <s v="sem"/>
    <s v="sem"/>
    <m/>
    <m/>
    <n v="85653"/>
    <n v="83879"/>
    <n v="10560"/>
    <n v="10998"/>
    <n v="91603"/>
    <n v="91375"/>
    <n v="187816"/>
    <n v="6260.5333333333338"/>
    <n v="186252"/>
    <n v="6208.4"/>
    <n v="2604"/>
    <n v="2668"/>
    <n v="187816"/>
    <n v="186252"/>
    <m/>
    <m/>
    <m/>
    <m/>
    <m/>
    <m/>
    <m/>
    <m/>
    <n v="0"/>
    <n v="0"/>
    <n v="0"/>
    <n v="0"/>
    <m/>
    <m/>
    <n v="0"/>
    <n v="0"/>
  </r>
  <r>
    <x v="5"/>
    <s v="Northern Kentucky University "/>
    <n v="157447"/>
    <x v="3"/>
    <s v="sem"/>
    <s v="sem"/>
    <m/>
    <m/>
    <n v="145575"/>
    <n v="146064"/>
    <n v="20141"/>
    <n v="20691"/>
    <n v="157920"/>
    <n v="162769"/>
    <n v="323636"/>
    <n v="10787.866666666667"/>
    <n v="329524"/>
    <n v="10984.133333333333"/>
    <n v="3176"/>
    <n v="3286"/>
    <n v="323636"/>
    <n v="329524"/>
    <m/>
    <m/>
    <m/>
    <m/>
    <m/>
    <m/>
    <m/>
    <m/>
    <n v="0"/>
    <n v="0"/>
    <n v="0"/>
    <n v="0"/>
    <m/>
    <m/>
    <n v="0"/>
    <n v="0"/>
  </r>
  <r>
    <x v="5"/>
    <s v="Kentucky State University "/>
    <n v="157058"/>
    <x v="4"/>
    <s v="sem"/>
    <s v="sem"/>
    <m/>
    <m/>
    <n v="27681"/>
    <n v="26801"/>
    <n v="4092"/>
    <n v="3990"/>
    <n v="30555"/>
    <n v="32389"/>
    <n v="62328"/>
    <n v="2077.6"/>
    <n v="63180"/>
    <n v="2106"/>
    <n v="100"/>
    <n v="332"/>
    <n v="62328"/>
    <n v="63180"/>
    <m/>
    <m/>
    <m/>
    <m/>
    <m/>
    <m/>
    <m/>
    <m/>
    <n v="0"/>
    <n v="0"/>
    <n v="0"/>
    <n v="0"/>
    <m/>
    <m/>
    <n v="0"/>
    <n v="0"/>
  </r>
  <r>
    <x v="5"/>
    <s v="Bluegrass Community and Technical College"/>
    <n v="157173"/>
    <x v="6"/>
    <s v="sem"/>
    <s v="sem"/>
    <m/>
    <m/>
    <n v="98581"/>
    <n v="107663"/>
    <n v="19290"/>
    <n v="21671"/>
    <n v="115233"/>
    <n v="122985"/>
    <n v="233104"/>
    <n v="7770.1333333333332"/>
    <n v="252319"/>
    <n v="8410.6333333333332"/>
    <n v="5110"/>
    <n v="5254"/>
    <n v="233104"/>
    <n v="252319"/>
    <m/>
    <m/>
    <m/>
    <m/>
    <m/>
    <m/>
    <m/>
    <m/>
    <n v="0"/>
    <n v="0"/>
    <n v="0"/>
    <n v="0"/>
    <m/>
    <m/>
    <n v="0"/>
    <n v="0"/>
  </r>
  <r>
    <x v="5"/>
    <s v="Jefferson Community and Technical College "/>
    <n v="156921"/>
    <x v="6"/>
    <s v="sem"/>
    <s v="sem"/>
    <m/>
    <m/>
    <n v="106679"/>
    <n v="111027"/>
    <n v="17461"/>
    <n v="19575"/>
    <n v="117609"/>
    <n v="125984"/>
    <n v="241749"/>
    <n v="8058.3"/>
    <n v="256586"/>
    <n v="8552.8666666666668"/>
    <n v="12888"/>
    <n v="11988"/>
    <n v="241749"/>
    <n v="256586"/>
    <m/>
    <m/>
    <m/>
    <m/>
    <m/>
    <m/>
    <m/>
    <m/>
    <n v="0"/>
    <n v="0"/>
    <n v="0"/>
    <n v="0"/>
    <m/>
    <m/>
    <n v="0"/>
    <n v="0"/>
  </r>
  <r>
    <x v="5"/>
    <s v="Ashland Community and Technical College"/>
    <n v="156231"/>
    <x v="7"/>
    <s v="sem"/>
    <s v="sem"/>
    <m/>
    <m/>
    <n v="26981"/>
    <n v="29324"/>
    <n v="4008"/>
    <n v="4849"/>
    <n v="36098"/>
    <n v="40984"/>
    <n v="67087"/>
    <n v="2236.2333333333331"/>
    <n v="75157"/>
    <n v="2505.2333333333331"/>
    <n v="7641"/>
    <n v="7383"/>
    <n v="67087"/>
    <n v="75157"/>
    <m/>
    <m/>
    <m/>
    <m/>
    <m/>
    <m/>
    <m/>
    <m/>
    <n v="0"/>
    <n v="0"/>
    <n v="0"/>
    <n v="0"/>
    <m/>
    <m/>
    <n v="0"/>
    <n v="0"/>
  </r>
  <r>
    <x v="5"/>
    <s v="Big Sandy Community and Technical College "/>
    <n v="157553"/>
    <x v="7"/>
    <s v="sem"/>
    <s v="sem"/>
    <m/>
    <m/>
    <n v="33501"/>
    <n v="33702"/>
    <n v="5409"/>
    <n v="6446"/>
    <n v="35901"/>
    <n v="42316"/>
    <n v="74811"/>
    <n v="2493.6999999999998"/>
    <n v="82464"/>
    <n v="2748.8"/>
    <n v="2277"/>
    <n v="2816"/>
    <n v="74811"/>
    <n v="82464"/>
    <m/>
    <m/>
    <m/>
    <m/>
    <m/>
    <m/>
    <m/>
    <m/>
    <n v="0"/>
    <n v="0"/>
    <n v="0"/>
    <n v="0"/>
    <m/>
    <m/>
    <n v="0"/>
    <n v="0"/>
  </r>
  <r>
    <x v="5"/>
    <s v="Elizabethtown Community and Technical College "/>
    <n v="156648"/>
    <x v="7"/>
    <s v="sem"/>
    <s v="sem"/>
    <m/>
    <m/>
    <n v="40917"/>
    <n v="45868"/>
    <n v="6680"/>
    <n v="8011"/>
    <n v="46417"/>
    <n v="57585"/>
    <n v="94014"/>
    <n v="3133.8"/>
    <n v="111464"/>
    <n v="3715.4666666666667"/>
    <n v="1449"/>
    <n v="2072"/>
    <n v="94014"/>
    <n v="111464"/>
    <m/>
    <m/>
    <m/>
    <m/>
    <m/>
    <m/>
    <m/>
    <m/>
    <n v="0"/>
    <n v="0"/>
    <n v="0"/>
    <n v="0"/>
    <m/>
    <m/>
    <n v="0"/>
    <n v="0"/>
  </r>
  <r>
    <x v="5"/>
    <s v="Madisonville Community College"/>
    <n v="157304"/>
    <x v="7"/>
    <s v="sem"/>
    <s v="sem"/>
    <m/>
    <m/>
    <n v="29463"/>
    <n v="27370"/>
    <n v="3902"/>
    <n v="4093"/>
    <n v="30484"/>
    <n v="32711"/>
    <n v="63849"/>
    <n v="2128.3000000000002"/>
    <n v="64174"/>
    <n v="2139.1333333333332"/>
    <n v="5489"/>
    <n v="5676"/>
    <n v="63849"/>
    <n v="64174"/>
    <m/>
    <m/>
    <m/>
    <m/>
    <m/>
    <m/>
    <m/>
    <m/>
    <n v="0"/>
    <n v="0"/>
    <n v="0"/>
    <n v="0"/>
    <m/>
    <m/>
    <n v="0"/>
    <n v="0"/>
  </r>
  <r>
    <x v="5"/>
    <s v="Maysville Community and Technical College "/>
    <n v="157331"/>
    <x v="7"/>
    <s v="sem"/>
    <s v="sem"/>
    <m/>
    <m/>
    <n v="32975"/>
    <n v="36280"/>
    <n v="6941"/>
    <n v="7344"/>
    <n v="34502"/>
    <n v="43850"/>
    <n v="74418"/>
    <n v="2480.6"/>
    <n v="87474"/>
    <n v="2915.8"/>
    <n v="7188"/>
    <n v="5730"/>
    <n v="74418"/>
    <n v="87474"/>
    <m/>
    <m/>
    <m/>
    <m/>
    <m/>
    <m/>
    <m/>
    <m/>
    <n v="0"/>
    <n v="0"/>
    <n v="0"/>
    <n v="0"/>
    <m/>
    <m/>
    <n v="0"/>
    <n v="0"/>
  </r>
  <r>
    <x v="5"/>
    <s v="Owensboro Community and Technical College "/>
    <n v="247940"/>
    <x v="7"/>
    <s v="sem"/>
    <s v="sem"/>
    <m/>
    <m/>
    <n v="34567"/>
    <n v="35922"/>
    <n v="3898"/>
    <n v="5467"/>
    <n v="41187"/>
    <n v="48142"/>
    <n v="79652"/>
    <n v="2655.0666666666666"/>
    <n v="89531"/>
    <n v="2984.3666666666668"/>
    <n v="15207"/>
    <n v="15687"/>
    <n v="79652"/>
    <n v="89531"/>
    <m/>
    <m/>
    <m/>
    <m/>
    <m/>
    <m/>
    <m/>
    <m/>
    <n v="0"/>
    <n v="0"/>
    <n v="0"/>
    <n v="0"/>
    <m/>
    <m/>
    <n v="0"/>
    <n v="0"/>
  </r>
  <r>
    <x v="5"/>
    <s v="Somerset Community and Technical College "/>
    <n v="157711"/>
    <x v="7"/>
    <s v="sem"/>
    <s v="sem"/>
    <m/>
    <m/>
    <n v="51932"/>
    <n v="53001"/>
    <n v="6205"/>
    <n v="8603"/>
    <n v="51934"/>
    <n v="69331"/>
    <n v="110071"/>
    <n v="3669.0333333333333"/>
    <n v="130935"/>
    <n v="4364.5"/>
    <n v="6638"/>
    <n v="7063"/>
    <n v="110071"/>
    <n v="130935"/>
    <m/>
    <m/>
    <m/>
    <m/>
    <m/>
    <m/>
    <m/>
    <m/>
    <n v="0"/>
    <n v="0"/>
    <n v="0"/>
    <n v="0"/>
    <m/>
    <m/>
    <n v="0"/>
    <n v="0"/>
  </r>
  <r>
    <x v="5"/>
    <s v="Southeast Kentucky Community and Technical College"/>
    <n v="157739"/>
    <x v="7"/>
    <s v="sem"/>
    <s v="sem"/>
    <m/>
    <m/>
    <n v="28171"/>
    <n v="27686"/>
    <n v="3205"/>
    <n v="3310"/>
    <n v="30423"/>
    <n v="35412"/>
    <n v="61799"/>
    <n v="2059.9666666666667"/>
    <n v="66408"/>
    <n v="2213.6"/>
    <n v="6135"/>
    <n v="5978"/>
    <n v="61799"/>
    <n v="66408"/>
    <m/>
    <m/>
    <m/>
    <m/>
    <m/>
    <m/>
    <m/>
    <m/>
    <n v="0"/>
    <n v="0"/>
    <n v="0"/>
    <n v="0"/>
    <m/>
    <m/>
    <n v="0"/>
    <n v="0"/>
  </r>
  <r>
    <x v="5"/>
    <s v="West Kentucky Community and Technical College"/>
    <n v="157483"/>
    <x v="7"/>
    <s v="sem"/>
    <s v="sem"/>
    <m/>
    <m/>
    <n v="40638"/>
    <n v="43498"/>
    <n v="7557"/>
    <n v="9913"/>
    <n v="47785"/>
    <n v="54390"/>
    <n v="95980"/>
    <n v="3199.3333333333335"/>
    <n v="107801"/>
    <n v="3593.3666666666668"/>
    <n v="7360"/>
    <n v="8706"/>
    <n v="95980"/>
    <n v="107801"/>
    <m/>
    <m/>
    <m/>
    <m/>
    <m/>
    <m/>
    <m/>
    <m/>
    <n v="0"/>
    <n v="0"/>
    <n v="0"/>
    <n v="0"/>
    <m/>
    <m/>
    <n v="0"/>
    <n v="0"/>
  </r>
  <r>
    <x v="5"/>
    <s v="Hazard Community and Technical College"/>
    <n v="156790"/>
    <x v="8"/>
    <s v="sem"/>
    <s v="sem"/>
    <m/>
    <m/>
    <n v="24961"/>
    <n v="22982"/>
    <n v="3177"/>
    <n v="3680"/>
    <n v="27640"/>
    <n v="31764"/>
    <n v="55778"/>
    <n v="1859.2666666666667"/>
    <n v="58426"/>
    <n v="1947.5333333333333"/>
    <n v="4154"/>
    <n v="4396"/>
    <n v="55778"/>
    <n v="58426"/>
    <m/>
    <m/>
    <m/>
    <m/>
    <m/>
    <m/>
    <m/>
    <m/>
    <n v="0"/>
    <n v="0"/>
    <n v="0"/>
    <n v="0"/>
    <m/>
    <m/>
    <n v="0"/>
    <n v="0"/>
  </r>
  <r>
    <x v="5"/>
    <s v="Henderson Community College "/>
    <n v="156851"/>
    <x v="8"/>
    <s v="sem"/>
    <s v="sem"/>
    <m/>
    <m/>
    <n v="16602"/>
    <n v="16495"/>
    <n v="3018"/>
    <n v="3950"/>
    <n v="17223"/>
    <n v="19805"/>
    <n v="36843"/>
    <n v="1228.0999999999999"/>
    <n v="40250"/>
    <n v="1341.6666666666667"/>
    <n v="1529"/>
    <n v="1690"/>
    <n v="36843"/>
    <n v="40250"/>
    <m/>
    <m/>
    <m/>
    <m/>
    <m/>
    <m/>
    <m/>
    <m/>
    <n v="0"/>
    <n v="0"/>
    <n v="0"/>
    <n v="0"/>
    <m/>
    <m/>
    <n v="0"/>
    <n v="0"/>
  </r>
  <r>
    <x v="5"/>
    <s v="Hopkinsville Community College "/>
    <n v="156860"/>
    <x v="8"/>
    <s v="sem"/>
    <s v="sem"/>
    <m/>
    <m/>
    <n v="24304"/>
    <n v="29244"/>
    <n v="3165"/>
    <n v="6484"/>
    <n v="28710"/>
    <n v="33286"/>
    <n v="56179"/>
    <n v="1872.6333333333334"/>
    <n v="69014"/>
    <n v="2300.4666666666667"/>
    <n v="1229"/>
    <n v="1548"/>
    <n v="56179"/>
    <n v="69014"/>
    <m/>
    <m/>
    <m/>
    <m/>
    <m/>
    <m/>
    <m/>
    <m/>
    <n v="0"/>
    <n v="0"/>
    <n v="0"/>
    <n v="0"/>
    <m/>
    <m/>
    <n v="0"/>
    <n v="0"/>
  </r>
  <r>
    <x v="5"/>
    <s v="Bowling Green Technical College"/>
    <n v="156338"/>
    <x v="9"/>
    <s v="sem"/>
    <s v="sem"/>
    <m/>
    <m/>
    <n v="16687"/>
    <n v="19719"/>
    <n v="2289"/>
    <n v="2861"/>
    <n v="20073"/>
    <n v="28715"/>
    <n v="39049"/>
    <n v="1301.6333333333334"/>
    <n v="51295"/>
    <n v="1709.8333333333333"/>
    <n v="5245"/>
    <n v="5175"/>
    <n v="39049"/>
    <n v="51295"/>
    <m/>
    <m/>
    <m/>
    <m/>
    <m/>
    <m/>
    <m/>
    <m/>
    <n v="0"/>
    <n v="0"/>
    <n v="0"/>
    <n v="0"/>
    <m/>
    <m/>
    <n v="0"/>
    <n v="0"/>
  </r>
  <r>
    <x v="5"/>
    <s v="Gateway Community and Technical College"/>
    <n v="157438"/>
    <x v="9"/>
    <s v="sem"/>
    <s v="sem"/>
    <m/>
    <m/>
    <n v="21339"/>
    <n v="24427"/>
    <n v="2888"/>
    <n v="4310"/>
    <n v="24590"/>
    <n v="30463"/>
    <n v="48817"/>
    <n v="1627.2333333333333"/>
    <n v="59200"/>
    <n v="1973.3333333333333"/>
    <n v="2934"/>
    <n v="3026"/>
    <n v="48817"/>
    <n v="59200"/>
    <m/>
    <m/>
    <m/>
    <m/>
    <m/>
    <m/>
    <m/>
    <m/>
    <n v="0"/>
    <n v="0"/>
    <n v="0"/>
    <n v="0"/>
    <m/>
    <m/>
    <n v="0"/>
    <n v="0"/>
  </r>
  <r>
    <x v="6"/>
    <s v="Louisiana State University and A&amp;M College"/>
    <n v="159391"/>
    <x v="0"/>
    <s v="sem"/>
    <s v="sem"/>
    <m/>
    <m/>
    <n v="314833"/>
    <n v="316145"/>
    <n v="45045"/>
    <n v="44383"/>
    <n v="357128"/>
    <n v="352512"/>
    <n v="717006"/>
    <n v="23900.2"/>
    <n v="713040"/>
    <n v="23768"/>
    <n v="204"/>
    <n v="192"/>
    <n v="717006"/>
    <n v="713040"/>
    <m/>
    <m/>
    <m/>
    <m/>
    <m/>
    <m/>
    <m/>
    <m/>
    <n v="0"/>
    <n v="0"/>
    <n v="0"/>
    <n v="0"/>
    <m/>
    <m/>
    <n v="0"/>
    <n v="0"/>
  </r>
  <r>
    <x v="6"/>
    <s v="Louisiana Tech University "/>
    <n v="159647"/>
    <x v="1"/>
    <s v="quar"/>
    <s v="quar"/>
    <n v="70228"/>
    <n v="69543"/>
    <n v="66602"/>
    <n v="65989"/>
    <n v="18064"/>
    <n v="17101"/>
    <n v="76759"/>
    <n v="76157"/>
    <n v="231653"/>
    <n v="5147.8444444444449"/>
    <n v="228790"/>
    <n v="7626.333333333333"/>
    <n v="3420"/>
    <n v="5353"/>
    <n v="231653"/>
    <n v="228790"/>
    <m/>
    <m/>
    <m/>
    <m/>
    <m/>
    <m/>
    <m/>
    <m/>
    <n v="0"/>
    <n v="0"/>
    <n v="0"/>
    <n v="0"/>
    <m/>
    <m/>
    <n v="0"/>
    <n v="0"/>
  </r>
  <r>
    <x v="6"/>
    <s v="University of Louisiana at Lafayette"/>
    <n v="160658"/>
    <x v="1"/>
    <s v="sem"/>
    <s v="sem"/>
    <m/>
    <m/>
    <n v="179733"/>
    <n v="178285"/>
    <n v="24241"/>
    <n v="24078"/>
    <n v="195625"/>
    <n v="196155"/>
    <n v="399599"/>
    <n v="13319.966666666667"/>
    <n v="398518"/>
    <n v="13283.933333333332"/>
    <n v="883"/>
    <n v="601"/>
    <n v="399599"/>
    <n v="398518"/>
    <m/>
    <m/>
    <m/>
    <m/>
    <m/>
    <m/>
    <m/>
    <m/>
    <n v="0"/>
    <n v="0"/>
    <n v="0"/>
    <n v="0"/>
    <m/>
    <m/>
    <n v="0"/>
    <n v="0"/>
  </r>
  <r>
    <x v="6"/>
    <s v="University of New Orleans"/>
    <n v="159939"/>
    <x v="1"/>
    <s v="sem"/>
    <s v="sem"/>
    <m/>
    <m/>
    <n v="99531"/>
    <n v="98044"/>
    <n v="19874"/>
    <n v="19111"/>
    <n v="107344"/>
    <n v="109326"/>
    <n v="226749"/>
    <n v="7558.3"/>
    <n v="226481"/>
    <n v="7549.3666666666668"/>
    <n v="227"/>
    <n v="584"/>
    <n v="226749"/>
    <n v="226481"/>
    <m/>
    <m/>
    <m/>
    <m/>
    <m/>
    <m/>
    <m/>
    <m/>
    <n v="0"/>
    <n v="0"/>
    <n v="0"/>
    <n v="0"/>
    <m/>
    <m/>
    <n v="0"/>
    <n v="0"/>
  </r>
  <r>
    <x v="6"/>
    <s v="Southeastern Louisiana University "/>
    <n v="160612"/>
    <x v="2"/>
    <s v="sem"/>
    <s v="sem"/>
    <m/>
    <m/>
    <n v="159604"/>
    <n v="159772"/>
    <n v="21388"/>
    <n v="25004"/>
    <n v="180124"/>
    <n v="182311"/>
    <n v="361116"/>
    <n v="12037.2"/>
    <n v="367087"/>
    <n v="12236.233333333334"/>
    <n v="4724"/>
    <n v="3778"/>
    <n v="361116"/>
    <n v="367087"/>
    <m/>
    <m/>
    <m/>
    <m/>
    <m/>
    <m/>
    <m/>
    <m/>
    <n v="0"/>
    <n v="0"/>
    <n v="0"/>
    <n v="0"/>
    <m/>
    <m/>
    <n v="0"/>
    <n v="0"/>
  </r>
  <r>
    <x v="6"/>
    <s v="Southern University and A&amp;M College at Baton Rouge "/>
    <n v="160621"/>
    <x v="2"/>
    <s v="sem"/>
    <s v="sem"/>
    <m/>
    <m/>
    <n v="98889"/>
    <n v="93756"/>
    <n v="17868"/>
    <n v="18641"/>
    <n v="99920"/>
    <n v="99197"/>
    <n v="216677"/>
    <n v="7222.5666666666666"/>
    <n v="211594"/>
    <n v="7053.1333333333332"/>
    <n v="232"/>
    <n v="18"/>
    <n v="216677"/>
    <n v="211594"/>
    <m/>
    <m/>
    <m/>
    <m/>
    <m/>
    <m/>
    <m/>
    <m/>
    <n v="0"/>
    <n v="0"/>
    <n v="0"/>
    <n v="0"/>
    <m/>
    <m/>
    <n v="0"/>
    <n v="0"/>
  </r>
  <r>
    <x v="6"/>
    <s v="University of Louisiana at Monroe"/>
    <n v="159993"/>
    <x v="2"/>
    <s v="sem"/>
    <s v="sem"/>
    <m/>
    <m/>
    <n v="83928"/>
    <n v="86823"/>
    <n v="16214"/>
    <n v="21017"/>
    <n v="95098"/>
    <n v="97378"/>
    <n v="195240"/>
    <n v="6508"/>
    <n v="205218"/>
    <n v="6840.6"/>
    <n v="4831"/>
    <n v="6151"/>
    <n v="195240"/>
    <n v="205218"/>
    <m/>
    <m/>
    <m/>
    <m/>
    <m/>
    <m/>
    <m/>
    <m/>
    <n v="0"/>
    <n v="0"/>
    <n v="0"/>
    <n v="0"/>
    <m/>
    <m/>
    <n v="0"/>
    <n v="0"/>
  </r>
  <r>
    <x v="6"/>
    <s v="Grambling State University"/>
    <n v="159009"/>
    <x v="3"/>
    <s v="sem"/>
    <s v="sem"/>
    <m/>
    <m/>
    <n v="64243"/>
    <n v="64163"/>
    <n v="10196"/>
    <n v="13218"/>
    <n v="68185"/>
    <n v="62566"/>
    <n v="142624"/>
    <n v="4754.1333333333332"/>
    <n v="139947"/>
    <n v="4664.8999999999996"/>
    <n v="87"/>
    <n v="110"/>
    <n v="142624"/>
    <n v="139947"/>
    <m/>
    <m/>
    <m/>
    <m/>
    <m/>
    <m/>
    <m/>
    <m/>
    <n v="0"/>
    <n v="0"/>
    <n v="0"/>
    <n v="0"/>
    <m/>
    <m/>
    <n v="0"/>
    <n v="0"/>
  </r>
  <r>
    <x v="6"/>
    <s v="Louisiana State University in Shreveport"/>
    <n v="159416"/>
    <x v="3"/>
    <s v="sem"/>
    <s v="sem"/>
    <m/>
    <m/>
    <n v="37785"/>
    <n v="39525"/>
    <n v="8384"/>
    <n v="9090"/>
    <n v="41914"/>
    <n v="43833"/>
    <n v="88083"/>
    <n v="2936.1"/>
    <n v="92448"/>
    <n v="3081.6"/>
    <n v="2337"/>
    <n v="5137"/>
    <n v="88083"/>
    <n v="92448"/>
    <m/>
    <m/>
    <m/>
    <m/>
    <m/>
    <m/>
    <m/>
    <m/>
    <n v="0"/>
    <n v="0"/>
    <n v="0"/>
    <n v="0"/>
    <m/>
    <m/>
    <n v="0"/>
    <n v="0"/>
  </r>
  <r>
    <x v="6"/>
    <s v="McNeese State University"/>
    <n v="159717"/>
    <x v="3"/>
    <s v="sem"/>
    <s v="sem"/>
    <m/>
    <m/>
    <n v="92412"/>
    <n v="92005"/>
    <n v="11373"/>
    <n v="12498"/>
    <n v="100054"/>
    <n v="103167"/>
    <n v="203839"/>
    <n v="6794.6333333333332"/>
    <n v="207670"/>
    <n v="6922.333333333333"/>
    <n v="2362"/>
    <n v="3243"/>
    <n v="203839"/>
    <n v="207670"/>
    <m/>
    <m/>
    <m/>
    <m/>
    <m/>
    <m/>
    <m/>
    <m/>
    <n v="0"/>
    <n v="0"/>
    <n v="0"/>
    <n v="0"/>
    <m/>
    <m/>
    <n v="0"/>
    <n v="0"/>
  </r>
  <r>
    <x v="6"/>
    <s v="Nicholls State University "/>
    <n v="159966"/>
    <x v="3"/>
    <s v="sem"/>
    <s v="sem"/>
    <m/>
    <m/>
    <n v="76760"/>
    <n v="78974"/>
    <n v="12286"/>
    <n v="15515"/>
    <n v="84910"/>
    <n v="87139"/>
    <n v="173956"/>
    <n v="5798.5333333333338"/>
    <n v="181628"/>
    <n v="6054.2666666666664"/>
    <n v="1531"/>
    <n v="2176"/>
    <n v="173956"/>
    <n v="181628"/>
    <m/>
    <m/>
    <m/>
    <m/>
    <m/>
    <m/>
    <m/>
    <m/>
    <n v="0"/>
    <n v="0"/>
    <n v="0"/>
    <n v="0"/>
    <m/>
    <m/>
    <n v="0"/>
    <n v="0"/>
  </r>
  <r>
    <x v="6"/>
    <s v="Northwestern State University"/>
    <n v="160038"/>
    <x v="3"/>
    <s v="sem"/>
    <s v="sem"/>
    <m/>
    <m/>
    <n v="95584"/>
    <n v="92138"/>
    <n v="21194"/>
    <n v="22227"/>
    <n v="101155"/>
    <n v="101195"/>
    <n v="217933"/>
    <n v="7264.4333333333334"/>
    <n v="215560"/>
    <n v="7185.333333333333"/>
    <n v="3496"/>
    <n v="4770"/>
    <n v="217933"/>
    <n v="215560"/>
    <m/>
    <m/>
    <m/>
    <m/>
    <m/>
    <m/>
    <m/>
    <m/>
    <n v="0"/>
    <n v="0"/>
    <n v="0"/>
    <n v="0"/>
    <m/>
    <m/>
    <n v="0"/>
    <n v="0"/>
  </r>
  <r>
    <x v="6"/>
    <s v="Southern University at New Orleans"/>
    <n v="160630"/>
    <x v="3"/>
    <s v="sem"/>
    <s v="sem"/>
    <m/>
    <m/>
    <n v="28548"/>
    <n v="28112"/>
    <n v="1761"/>
    <n v="3991"/>
    <n v="29982"/>
    <n v="32760"/>
    <n v="60291"/>
    <n v="2009.7"/>
    <n v="64863"/>
    <n v="2162.1"/>
    <n v="1156"/>
    <n v="629"/>
    <n v="60291"/>
    <n v="64863"/>
    <m/>
    <m/>
    <m/>
    <m/>
    <m/>
    <m/>
    <m/>
    <m/>
    <n v="0"/>
    <n v="0"/>
    <n v="0"/>
    <n v="0"/>
    <m/>
    <m/>
    <n v="0"/>
    <n v="0"/>
  </r>
  <r>
    <x v="6"/>
    <s v="Louisiana State University at Alexandria"/>
    <n v="159382"/>
    <x v="11"/>
    <s v="sem"/>
    <s v="sem"/>
    <m/>
    <m/>
    <n v="25547"/>
    <n v="25763"/>
    <n v="4330"/>
    <n v="4428"/>
    <n v="28249"/>
    <n v="26533"/>
    <n v="58126"/>
    <n v="1937.5333333333333"/>
    <n v="56724"/>
    <n v="1890.8"/>
    <n v="4198"/>
    <n v="3309"/>
    <n v="58126"/>
    <n v="56724"/>
    <m/>
    <m/>
    <m/>
    <m/>
    <m/>
    <m/>
    <m/>
    <m/>
    <n v="0"/>
    <n v="0"/>
    <n v="0"/>
    <n v="0"/>
    <m/>
    <m/>
    <n v="0"/>
    <n v="0"/>
  </r>
  <r>
    <x v="6"/>
    <s v="Delgado Community College "/>
    <n v="158662"/>
    <x v="6"/>
    <s v="sem"/>
    <s v="sem"/>
    <m/>
    <m/>
    <n v="124409"/>
    <n v="139048"/>
    <n v="30119"/>
    <n v="34861"/>
    <n v="136216"/>
    <n v="161822"/>
    <n v="290744"/>
    <n v="9691.4666666666672"/>
    <n v="335731"/>
    <n v="11191.033333333333"/>
    <n v="1386"/>
    <n v="1353"/>
    <n v="290744"/>
    <n v="335731"/>
    <m/>
    <m/>
    <m/>
    <m/>
    <m/>
    <m/>
    <m/>
    <m/>
    <n v="0"/>
    <n v="0"/>
    <n v="0"/>
    <n v="0"/>
    <m/>
    <m/>
    <n v="0"/>
    <n v="0"/>
  </r>
  <r>
    <x v="6"/>
    <s v="Baton Rouge Community College"/>
    <n v="437103"/>
    <x v="7"/>
    <s v="sem"/>
    <s v="sem"/>
    <m/>
    <m/>
    <n v="64649"/>
    <n v="67448"/>
    <n v="14029"/>
    <n v="11802"/>
    <n v="73895"/>
    <n v="80298"/>
    <n v="152573"/>
    <n v="5085.7666666666664"/>
    <n v="159548"/>
    <n v="5318.2666666666664"/>
    <n v="2422"/>
    <n v="2430"/>
    <n v="152573"/>
    <n v="159548"/>
    <m/>
    <m/>
    <m/>
    <m/>
    <m/>
    <m/>
    <m/>
    <m/>
    <n v="0"/>
    <n v="0"/>
    <n v="0"/>
    <n v="0"/>
    <m/>
    <m/>
    <n v="0"/>
    <n v="0"/>
  </r>
  <r>
    <x v="6"/>
    <s v="Bossier Parish Community College"/>
    <n v="158431"/>
    <x v="7"/>
    <s v="sem"/>
    <s v="sem"/>
    <m/>
    <m/>
    <n v="47034"/>
    <n v="47887"/>
    <n v="9739"/>
    <n v="11131"/>
    <n v="48050"/>
    <n v="56000"/>
    <n v="104823"/>
    <n v="3494.1"/>
    <n v="115018"/>
    <n v="3833.9333333333334"/>
    <n v="3051"/>
    <n v="3463"/>
    <n v="104823"/>
    <n v="115018"/>
    <m/>
    <m/>
    <m/>
    <m/>
    <m/>
    <m/>
    <m/>
    <m/>
    <n v="0"/>
    <n v="0"/>
    <n v="0"/>
    <n v="0"/>
    <m/>
    <m/>
    <n v="0"/>
    <n v="0"/>
  </r>
  <r>
    <x v="6"/>
    <s v="Louisiana State University at Eunice"/>
    <n v="159407"/>
    <x v="7"/>
    <s v="sem"/>
    <s v="sem"/>
    <m/>
    <m/>
    <n v="26706"/>
    <n v="28323"/>
    <n v="4433"/>
    <n v="4453"/>
    <n v="29855"/>
    <n v="31995"/>
    <n v="60994"/>
    <n v="2033.1333333333334"/>
    <n v="64771"/>
    <n v="2159.0333333333333"/>
    <n v="2274"/>
    <n v="3376"/>
    <n v="60994"/>
    <n v="64771"/>
    <m/>
    <m/>
    <m/>
    <m/>
    <m/>
    <m/>
    <m/>
    <m/>
    <n v="0"/>
    <n v="0"/>
    <n v="0"/>
    <n v="0"/>
    <m/>
    <m/>
    <n v="0"/>
    <n v="0"/>
  </r>
  <r>
    <x v="6"/>
    <s v="Louisiana Delta Community College"/>
    <n v="440624"/>
    <x v="8"/>
    <s v="sem"/>
    <s v="sem"/>
    <m/>
    <m/>
    <n v="11696"/>
    <n v="14745"/>
    <n v="2995"/>
    <n v="2861"/>
    <n v="15431"/>
    <n v="16800"/>
    <n v="30122"/>
    <n v="1004.0666666666667"/>
    <n v="34406"/>
    <n v="1146.8666666666666"/>
    <n v="2707"/>
    <n v="1757"/>
    <n v="30122"/>
    <n v="34406"/>
    <m/>
    <m/>
    <m/>
    <m/>
    <m/>
    <m/>
    <m/>
    <m/>
    <n v="0"/>
    <n v="0"/>
    <n v="0"/>
    <n v="0"/>
    <m/>
    <m/>
    <n v="0"/>
    <n v="0"/>
  </r>
  <r>
    <x v="6"/>
    <s v="Nunez Community College"/>
    <n v="158884"/>
    <x v="8"/>
    <s v="sem"/>
    <s v="sem"/>
    <m/>
    <m/>
    <n v="11991"/>
    <n v="14253"/>
    <n v="3204"/>
    <n v="3315.6"/>
    <n v="14004"/>
    <n v="15550"/>
    <n v="29199"/>
    <n v="973.3"/>
    <n v="33118.6"/>
    <n v="1103.9533333333334"/>
    <n v="3143"/>
    <n v="4153"/>
    <n v="29199"/>
    <n v="33118.6"/>
    <m/>
    <m/>
    <m/>
    <m/>
    <m/>
    <m/>
    <m/>
    <m/>
    <n v="0"/>
    <n v="0"/>
    <n v="0"/>
    <n v="0"/>
    <m/>
    <m/>
    <n v="0"/>
    <n v="0"/>
  </r>
  <r>
    <x v="6"/>
    <s v="River Parishes Community College"/>
    <n v="436304"/>
    <x v="8"/>
    <s v="sem"/>
    <s v="sem"/>
    <m/>
    <m/>
    <n v="8835"/>
    <n v="10656"/>
    <n v="1698"/>
    <n v="2850"/>
    <n v="11227"/>
    <n v="14463"/>
    <n v="21760"/>
    <n v="725.33333333333337"/>
    <n v="27969"/>
    <n v="932.3"/>
    <n v="1303"/>
    <n v="1505"/>
    <n v="21760"/>
    <n v="27969"/>
    <m/>
    <m/>
    <m/>
    <m/>
    <m/>
    <m/>
    <m/>
    <m/>
    <n v="0"/>
    <n v="0"/>
    <n v="0"/>
    <n v="0"/>
    <m/>
    <m/>
    <n v="0"/>
    <n v="0"/>
  </r>
  <r>
    <x v="6"/>
    <s v="South Louisiana Community College"/>
    <n v="434061"/>
    <x v="8"/>
    <s v="sem"/>
    <s v="sem"/>
    <m/>
    <m/>
    <n v="26543"/>
    <n v="28762"/>
    <n v="6601"/>
    <n v="7485"/>
    <n v="29724"/>
    <n v="34649"/>
    <n v="62868"/>
    <n v="2095.6"/>
    <n v="70896"/>
    <n v="2363.1999999999998"/>
    <n v="4222"/>
    <n v="4761"/>
    <n v="62868"/>
    <n v="70896"/>
    <m/>
    <m/>
    <m/>
    <m/>
    <m/>
    <m/>
    <m/>
    <m/>
    <n v="0"/>
    <n v="0"/>
    <n v="0"/>
    <n v="0"/>
    <m/>
    <m/>
    <n v="0"/>
    <n v="0"/>
  </r>
  <r>
    <x v="6"/>
    <s v="Southern University in Shreveport"/>
    <n v="160649"/>
    <x v="8"/>
    <s v="sem"/>
    <s v="sem"/>
    <m/>
    <m/>
    <n v="23871"/>
    <n v="26266"/>
    <n v="7417"/>
    <n v="7490"/>
    <n v="25175"/>
    <n v="32663"/>
    <n v="56463"/>
    <n v="1882.1"/>
    <n v="66419"/>
    <n v="2213.9666666666667"/>
    <n v="2625"/>
    <n v="2321"/>
    <n v="56463"/>
    <n v="66419"/>
    <m/>
    <m/>
    <m/>
    <m/>
    <m/>
    <m/>
    <m/>
    <m/>
    <n v="0"/>
    <n v="0"/>
    <n v="0"/>
    <n v="0"/>
    <m/>
    <m/>
    <n v="0"/>
    <n v="0"/>
  </r>
  <r>
    <x v="6"/>
    <s v="Sowela Technical Community College"/>
    <n v="160579"/>
    <x v="9"/>
    <s v="sem"/>
    <s v="sem"/>
    <m/>
    <m/>
    <n v="17967"/>
    <n v="21728"/>
    <n v="5384"/>
    <n v="5782"/>
    <n v="20402"/>
    <n v="25268"/>
    <n v="43753"/>
    <n v="1458.4333333333334"/>
    <n v="52778"/>
    <n v="1759.2666666666667"/>
    <n v="931"/>
    <n v="861"/>
    <n v="43753"/>
    <n v="52778"/>
    <m/>
    <m/>
    <m/>
    <m/>
    <m/>
    <m/>
    <m/>
    <m/>
    <n v="0"/>
    <n v="0"/>
    <n v="0"/>
    <n v="0"/>
    <m/>
    <m/>
    <n v="0"/>
    <n v="0"/>
  </r>
  <r>
    <x v="6"/>
    <s v="L.E. Fletcher Technical Community College"/>
    <n v="160481"/>
    <x v="10"/>
    <s v="sem"/>
    <s v="sem"/>
    <m/>
    <m/>
    <n v="10852"/>
    <n v="12352"/>
    <n v="2984.5"/>
    <n v="2953"/>
    <n v="13800"/>
    <n v="17031"/>
    <n v="27636.5"/>
    <n v="921.2166666666667"/>
    <n v="32336"/>
    <n v="1077.8666666666666"/>
    <n v="977"/>
    <n v="923"/>
    <n v="27636.5"/>
    <n v="32336"/>
    <m/>
    <m/>
    <n v="5836"/>
    <n v="15887"/>
    <n v="4371"/>
    <n v="3701"/>
    <n v="11481"/>
    <n v="15878"/>
    <n v="21688"/>
    <n v="24.097777777777779"/>
    <n v="35466"/>
    <n v="39.406666666666666"/>
    <m/>
    <m/>
    <n v="0"/>
    <n v="0"/>
  </r>
  <r>
    <x v="6"/>
    <s v="Louisiana Technical College-Acadian Campus"/>
    <n v="160560"/>
    <x v="13"/>
    <s v="sem"/>
    <s v="sem"/>
    <m/>
    <m/>
    <m/>
    <m/>
    <m/>
    <m/>
    <m/>
    <m/>
    <n v="0"/>
    <n v="0"/>
    <n v="0"/>
    <n v="0"/>
    <m/>
    <m/>
    <n v="0"/>
    <n v="0"/>
    <m/>
    <m/>
    <m/>
    <m/>
    <m/>
    <m/>
    <m/>
    <m/>
    <n v="0"/>
    <n v="0"/>
    <n v="0"/>
    <n v="0"/>
    <m/>
    <m/>
    <n v="0"/>
    <n v="0"/>
  </r>
  <r>
    <x v="6"/>
    <s v="Louisiana Technical College-Alexandria Campus"/>
    <n v="158088"/>
    <x v="13"/>
    <s v="sem"/>
    <s v="sem"/>
    <m/>
    <m/>
    <m/>
    <m/>
    <m/>
    <m/>
    <m/>
    <m/>
    <n v="0"/>
    <n v="0"/>
    <n v="0"/>
    <n v="0"/>
    <m/>
    <m/>
    <n v="0"/>
    <n v="0"/>
    <m/>
    <m/>
    <m/>
    <m/>
    <m/>
    <m/>
    <m/>
    <m/>
    <n v="0"/>
    <n v="0"/>
    <n v="0"/>
    <n v="0"/>
    <m/>
    <m/>
    <n v="0"/>
    <n v="0"/>
  </r>
  <r>
    <x v="6"/>
    <s v="Louisiana Technical College-all campuses"/>
    <m/>
    <x v="13"/>
    <s v="sem"/>
    <s v="sem"/>
    <m/>
    <m/>
    <n v="172619"/>
    <n v="193010"/>
    <n v="61249"/>
    <n v="68929.5"/>
    <n v="188692.5"/>
    <n v="236729"/>
    <n v="422560.5"/>
    <n v="14085.35"/>
    <n v="498668.5"/>
    <n v="16622.283333333333"/>
    <n v="48788"/>
    <n v="76133"/>
    <n v="422560.5"/>
    <n v="498668.5"/>
    <m/>
    <m/>
    <n v="36936.5"/>
    <n v="36936.5"/>
    <n v="20692"/>
    <n v="24993"/>
    <n v="30920"/>
    <n v="35430"/>
    <n v="88548.5"/>
    <n v="98.387222222222221"/>
    <n v="97359.5"/>
    <n v="108.17722222222223"/>
    <m/>
    <m/>
    <n v="0"/>
    <n v="0"/>
  </r>
  <r>
    <x v="6"/>
    <s v="Louisiana Technical College-Ascension Campus"/>
    <n v="158219"/>
    <x v="13"/>
    <s v="sem"/>
    <s v="sem"/>
    <m/>
    <m/>
    <m/>
    <m/>
    <m/>
    <m/>
    <m/>
    <m/>
    <n v="0"/>
    <n v="0"/>
    <n v="0"/>
    <n v="0"/>
    <m/>
    <m/>
    <n v="0"/>
    <n v="0"/>
    <m/>
    <m/>
    <m/>
    <m/>
    <m/>
    <m/>
    <m/>
    <m/>
    <n v="0"/>
    <n v="0"/>
    <n v="0"/>
    <n v="0"/>
    <m/>
    <m/>
    <n v="0"/>
    <n v="0"/>
  </r>
  <r>
    <x v="6"/>
    <s v="Louisiana Technical College-Avoyelles Campus"/>
    <n v="158237"/>
    <x v="13"/>
    <s v="sem"/>
    <s v="sem"/>
    <m/>
    <m/>
    <m/>
    <m/>
    <m/>
    <m/>
    <m/>
    <m/>
    <n v="0"/>
    <n v="0"/>
    <n v="0"/>
    <n v="0"/>
    <m/>
    <m/>
    <n v="0"/>
    <n v="0"/>
    <m/>
    <m/>
    <m/>
    <m/>
    <m/>
    <m/>
    <m/>
    <m/>
    <n v="0"/>
    <n v="0"/>
    <n v="0"/>
    <n v="0"/>
    <m/>
    <m/>
    <n v="0"/>
    <n v="0"/>
  </r>
  <r>
    <x v="6"/>
    <s v="Louisiana Technical College-Bastrop Campus"/>
    <n v="158307"/>
    <x v="13"/>
    <s v="sem"/>
    <s v="sem"/>
    <m/>
    <m/>
    <m/>
    <m/>
    <m/>
    <m/>
    <m/>
    <m/>
    <n v="0"/>
    <n v="0"/>
    <n v="0"/>
    <n v="0"/>
    <m/>
    <m/>
    <n v="0"/>
    <n v="0"/>
    <m/>
    <m/>
    <m/>
    <m/>
    <m/>
    <m/>
    <m/>
    <m/>
    <n v="0"/>
    <n v="0"/>
    <n v="0"/>
    <n v="0"/>
    <m/>
    <m/>
    <n v="0"/>
    <n v="0"/>
  </r>
  <r>
    <x v="6"/>
    <s v="Louisiana Technical College-Baton Rouge Campus"/>
    <n v="158352"/>
    <x v="13"/>
    <s v="sem"/>
    <s v="sem"/>
    <m/>
    <m/>
    <m/>
    <m/>
    <m/>
    <m/>
    <m/>
    <m/>
    <n v="0"/>
    <n v="0"/>
    <n v="0"/>
    <n v="0"/>
    <m/>
    <m/>
    <n v="0"/>
    <n v="0"/>
    <m/>
    <m/>
    <m/>
    <m/>
    <m/>
    <m/>
    <m/>
    <m/>
    <n v="0"/>
    <n v="0"/>
    <n v="0"/>
    <n v="0"/>
    <m/>
    <m/>
    <n v="0"/>
    <n v="0"/>
  </r>
  <r>
    <x v="6"/>
    <s v="Louisiana Technical College-Charles B. Coreil Campus"/>
    <n v="160816"/>
    <x v="13"/>
    <s v="sem"/>
    <s v="sem"/>
    <m/>
    <m/>
    <m/>
    <m/>
    <m/>
    <m/>
    <m/>
    <m/>
    <n v="0"/>
    <n v="0"/>
    <n v="0"/>
    <n v="0"/>
    <m/>
    <m/>
    <n v="0"/>
    <n v="0"/>
    <m/>
    <m/>
    <m/>
    <m/>
    <m/>
    <m/>
    <m/>
    <m/>
    <n v="0"/>
    <n v="0"/>
    <n v="0"/>
    <n v="0"/>
    <m/>
    <m/>
    <n v="0"/>
    <n v="0"/>
  </r>
  <r>
    <x v="6"/>
    <s v="Louisiana Technical College-Delta/Ouachita Campus"/>
    <n v="158769"/>
    <x v="13"/>
    <s v="sem"/>
    <s v="sem"/>
    <m/>
    <m/>
    <m/>
    <m/>
    <m/>
    <m/>
    <m/>
    <m/>
    <n v="0"/>
    <n v="0"/>
    <n v="0"/>
    <n v="0"/>
    <m/>
    <m/>
    <n v="0"/>
    <n v="0"/>
    <m/>
    <m/>
    <m/>
    <m/>
    <m/>
    <m/>
    <m/>
    <m/>
    <n v="0"/>
    <n v="0"/>
    <n v="0"/>
    <n v="0"/>
    <m/>
    <m/>
    <n v="0"/>
    <n v="0"/>
  </r>
  <r>
    <x v="6"/>
    <s v="Louisiana Technical College-Evangeline Campus"/>
    <n v="158893"/>
    <x v="13"/>
    <s v="sem"/>
    <s v="sem"/>
    <m/>
    <m/>
    <m/>
    <m/>
    <m/>
    <m/>
    <m/>
    <m/>
    <n v="0"/>
    <n v="0"/>
    <n v="0"/>
    <n v="0"/>
    <m/>
    <m/>
    <n v="0"/>
    <n v="0"/>
    <m/>
    <m/>
    <m/>
    <m/>
    <m/>
    <m/>
    <m/>
    <m/>
    <n v="0"/>
    <n v="0"/>
    <n v="0"/>
    <n v="0"/>
    <m/>
    <m/>
    <n v="0"/>
    <n v="0"/>
  </r>
  <r>
    <x v="6"/>
    <s v="Louisiana Technical College-Florida Parishes Campus"/>
    <n v="158936"/>
    <x v="13"/>
    <s v="sem"/>
    <s v="sem"/>
    <m/>
    <m/>
    <m/>
    <m/>
    <m/>
    <m/>
    <m/>
    <m/>
    <n v="0"/>
    <n v="0"/>
    <n v="0"/>
    <n v="0"/>
    <m/>
    <m/>
    <n v="0"/>
    <n v="0"/>
    <m/>
    <m/>
    <m/>
    <m/>
    <m/>
    <m/>
    <m/>
    <m/>
    <n v="0"/>
    <n v="0"/>
    <n v="0"/>
    <n v="0"/>
    <m/>
    <m/>
    <n v="0"/>
    <n v="0"/>
  </r>
  <r>
    <x v="6"/>
    <s v="Louisiana Technical College-Folkes Campus"/>
    <n v="158945"/>
    <x v="13"/>
    <s v="sem"/>
    <s v="sem"/>
    <m/>
    <m/>
    <m/>
    <m/>
    <m/>
    <m/>
    <m/>
    <m/>
    <n v="0"/>
    <n v="0"/>
    <n v="0"/>
    <n v="0"/>
    <m/>
    <m/>
    <n v="0"/>
    <n v="0"/>
    <m/>
    <m/>
    <m/>
    <m/>
    <m/>
    <m/>
    <m/>
    <m/>
    <n v="0"/>
    <n v="0"/>
    <n v="0"/>
    <n v="0"/>
    <m/>
    <m/>
    <n v="0"/>
    <n v="0"/>
  </r>
  <r>
    <x v="6"/>
    <s v="Louisiana Technical College-Gulf Area Campus"/>
    <n v="159018"/>
    <x v="13"/>
    <s v="sem"/>
    <s v="sem"/>
    <m/>
    <m/>
    <m/>
    <m/>
    <m/>
    <m/>
    <m/>
    <m/>
    <n v="0"/>
    <n v="0"/>
    <n v="0"/>
    <n v="0"/>
    <m/>
    <m/>
    <n v="0"/>
    <n v="0"/>
    <m/>
    <m/>
    <m/>
    <m/>
    <m/>
    <m/>
    <m/>
    <m/>
    <n v="0"/>
    <n v="0"/>
    <n v="0"/>
    <n v="0"/>
    <m/>
    <m/>
    <n v="0"/>
    <n v="0"/>
  </r>
  <r>
    <x v="6"/>
    <s v="Louisiana Technical College-Hammond Area Campus"/>
    <n v="159045"/>
    <x v="13"/>
    <s v="sem"/>
    <s v="sem"/>
    <m/>
    <m/>
    <m/>
    <m/>
    <m/>
    <m/>
    <m/>
    <m/>
    <n v="0"/>
    <n v="0"/>
    <n v="0"/>
    <n v="0"/>
    <m/>
    <m/>
    <n v="0"/>
    <n v="0"/>
    <m/>
    <m/>
    <m/>
    <m/>
    <m/>
    <m/>
    <m/>
    <m/>
    <n v="0"/>
    <n v="0"/>
    <n v="0"/>
    <n v="0"/>
    <m/>
    <m/>
    <n v="0"/>
    <n v="0"/>
  </r>
  <r>
    <x v="6"/>
    <s v="Louisiana Technical College-Huey P. Long Campus"/>
    <n v="159090"/>
    <x v="13"/>
    <s v="sem"/>
    <s v="sem"/>
    <m/>
    <m/>
    <m/>
    <m/>
    <m/>
    <m/>
    <m/>
    <m/>
    <n v="0"/>
    <n v="0"/>
    <n v="0"/>
    <n v="0"/>
    <m/>
    <m/>
    <n v="0"/>
    <n v="0"/>
    <m/>
    <m/>
    <m/>
    <m/>
    <m/>
    <m/>
    <m/>
    <m/>
    <n v="0"/>
    <n v="0"/>
    <n v="0"/>
    <n v="0"/>
    <m/>
    <m/>
    <n v="0"/>
    <n v="0"/>
  </r>
  <r>
    <x v="6"/>
    <s v="Louisiana Technical College-Jefferson Campus"/>
    <n v="159258"/>
    <x v="13"/>
    <s v="sem"/>
    <s v="sem"/>
    <m/>
    <m/>
    <m/>
    <m/>
    <m/>
    <m/>
    <m/>
    <m/>
    <n v="0"/>
    <n v="0"/>
    <n v="0"/>
    <n v="0"/>
    <m/>
    <m/>
    <n v="0"/>
    <n v="0"/>
    <m/>
    <m/>
    <m/>
    <m/>
    <m/>
    <m/>
    <m/>
    <m/>
    <n v="0"/>
    <n v="0"/>
    <n v="0"/>
    <n v="0"/>
    <m/>
    <m/>
    <n v="0"/>
    <n v="0"/>
  </r>
  <r>
    <x v="6"/>
    <s v="Louisiana Technical College-Jumonville Memorial Campus"/>
    <n v="160214"/>
    <x v="13"/>
    <s v="sem"/>
    <s v="sem"/>
    <m/>
    <m/>
    <m/>
    <m/>
    <m/>
    <m/>
    <m/>
    <m/>
    <n v="0"/>
    <n v="0"/>
    <n v="0"/>
    <n v="0"/>
    <m/>
    <m/>
    <n v="0"/>
    <n v="0"/>
    <m/>
    <m/>
    <m/>
    <m/>
    <m/>
    <m/>
    <m/>
    <m/>
    <n v="0"/>
    <n v="0"/>
    <n v="0"/>
    <n v="0"/>
    <m/>
    <m/>
    <n v="0"/>
    <n v="0"/>
  </r>
  <r>
    <x v="6"/>
    <s v="Louisiana Technical College-Lafayette Campus"/>
    <n v="159443"/>
    <x v="13"/>
    <s v="sem"/>
    <s v="sem"/>
    <m/>
    <m/>
    <m/>
    <m/>
    <m/>
    <m/>
    <m/>
    <m/>
    <n v="0"/>
    <n v="0"/>
    <n v="0"/>
    <n v="0"/>
    <m/>
    <m/>
    <n v="0"/>
    <n v="0"/>
    <m/>
    <m/>
    <m/>
    <m/>
    <m/>
    <m/>
    <m/>
    <m/>
    <n v="0"/>
    <n v="0"/>
    <n v="0"/>
    <n v="0"/>
    <m/>
    <m/>
    <n v="0"/>
    <n v="0"/>
  </r>
  <r>
    <x v="6"/>
    <s v="Louisiana Technical College-Lafourche Campus"/>
    <n v="160719"/>
    <x v="13"/>
    <s v="sem"/>
    <s v="sem"/>
    <m/>
    <m/>
    <m/>
    <m/>
    <m/>
    <m/>
    <m/>
    <m/>
    <n v="0"/>
    <n v="0"/>
    <n v="0"/>
    <n v="0"/>
    <m/>
    <m/>
    <n v="0"/>
    <n v="0"/>
    <m/>
    <m/>
    <m/>
    <m/>
    <m/>
    <m/>
    <m/>
    <m/>
    <n v="0"/>
    <n v="0"/>
    <n v="0"/>
    <n v="0"/>
    <m/>
    <m/>
    <n v="0"/>
    <n v="0"/>
  </r>
  <r>
    <x v="6"/>
    <s v="Louisiana Technical College-Lamar Salter Campus"/>
    <n v="160843"/>
    <x v="13"/>
    <s v="sem"/>
    <s v="sem"/>
    <m/>
    <m/>
    <m/>
    <m/>
    <m/>
    <m/>
    <m/>
    <m/>
    <n v="0"/>
    <n v="0"/>
    <n v="0"/>
    <n v="0"/>
    <m/>
    <m/>
    <n v="0"/>
    <n v="0"/>
    <m/>
    <m/>
    <m/>
    <m/>
    <m/>
    <m/>
    <m/>
    <m/>
    <n v="0"/>
    <n v="0"/>
    <n v="0"/>
    <n v="0"/>
    <m/>
    <m/>
    <n v="0"/>
    <n v="0"/>
  </r>
  <r>
    <x v="6"/>
    <s v="Louisiana Technical College-Mansfield Campus"/>
    <n v="159692"/>
    <x v="13"/>
    <s v="sem"/>
    <s v="sem"/>
    <m/>
    <m/>
    <m/>
    <m/>
    <m/>
    <m/>
    <m/>
    <m/>
    <n v="0"/>
    <n v="0"/>
    <n v="0"/>
    <n v="0"/>
    <m/>
    <m/>
    <n v="0"/>
    <n v="0"/>
    <m/>
    <m/>
    <m/>
    <m/>
    <m/>
    <m/>
    <m/>
    <m/>
    <n v="0"/>
    <n v="0"/>
    <n v="0"/>
    <n v="0"/>
    <m/>
    <m/>
    <n v="0"/>
    <n v="0"/>
  </r>
  <r>
    <x v="6"/>
    <s v="Louisiana Technical College-Morgan Smith Campus"/>
    <n v="159249"/>
    <x v="13"/>
    <s v="sem"/>
    <s v="sem"/>
    <m/>
    <m/>
    <m/>
    <m/>
    <m/>
    <m/>
    <m/>
    <m/>
    <n v="0"/>
    <n v="0"/>
    <n v="0"/>
    <n v="0"/>
    <m/>
    <m/>
    <n v="0"/>
    <n v="0"/>
    <m/>
    <m/>
    <m/>
    <m/>
    <m/>
    <m/>
    <m/>
    <m/>
    <n v="0"/>
    <n v="0"/>
    <n v="0"/>
    <n v="0"/>
    <m/>
    <m/>
    <n v="0"/>
    <n v="0"/>
  </r>
  <r>
    <x v="6"/>
    <s v="Louisiana Technical College-Nachitoches Campus"/>
    <n v="159823"/>
    <x v="13"/>
    <s v="sem"/>
    <s v="sem"/>
    <m/>
    <m/>
    <m/>
    <m/>
    <m/>
    <m/>
    <m/>
    <m/>
    <n v="0"/>
    <n v="0"/>
    <n v="0"/>
    <n v="0"/>
    <m/>
    <m/>
    <n v="0"/>
    <n v="0"/>
    <m/>
    <m/>
    <m/>
    <m/>
    <m/>
    <m/>
    <m/>
    <m/>
    <n v="0"/>
    <n v="0"/>
    <n v="0"/>
    <n v="0"/>
    <m/>
    <m/>
    <n v="0"/>
    <n v="0"/>
  </r>
  <r>
    <x v="6"/>
    <s v="Louisiana Technical College-North Central Campus"/>
    <n v="159984"/>
    <x v="13"/>
    <s v="sem"/>
    <s v="sem"/>
    <m/>
    <m/>
    <m/>
    <m/>
    <m/>
    <m/>
    <m/>
    <m/>
    <n v="0"/>
    <n v="0"/>
    <n v="0"/>
    <n v="0"/>
    <m/>
    <m/>
    <n v="0"/>
    <n v="0"/>
    <m/>
    <m/>
    <m/>
    <m/>
    <m/>
    <m/>
    <m/>
    <m/>
    <n v="0"/>
    <n v="0"/>
    <n v="0"/>
    <n v="0"/>
    <m/>
    <m/>
    <n v="0"/>
    <n v="0"/>
  </r>
  <r>
    <x v="6"/>
    <s v="Louisiana Technical College-Northeast Louisiana Campus"/>
    <n v="160001"/>
    <x v="13"/>
    <s v="sem"/>
    <s v="sem"/>
    <m/>
    <m/>
    <m/>
    <m/>
    <m/>
    <m/>
    <m/>
    <m/>
    <n v="0"/>
    <n v="0"/>
    <n v="0"/>
    <n v="0"/>
    <m/>
    <m/>
    <n v="0"/>
    <n v="0"/>
    <m/>
    <m/>
    <m/>
    <m/>
    <m/>
    <m/>
    <m/>
    <m/>
    <n v="0"/>
    <n v="0"/>
    <n v="0"/>
    <n v="0"/>
    <m/>
    <m/>
    <n v="0"/>
    <n v="0"/>
  </r>
  <r>
    <x v="6"/>
    <s v="Louisiana Technical College-Northwest Louisiana Campus"/>
    <n v="160010"/>
    <x v="13"/>
    <s v="sem"/>
    <s v="sem"/>
    <m/>
    <m/>
    <m/>
    <m/>
    <m/>
    <m/>
    <m/>
    <m/>
    <n v="0"/>
    <n v="0"/>
    <n v="0"/>
    <n v="0"/>
    <m/>
    <m/>
    <n v="0"/>
    <n v="0"/>
    <m/>
    <m/>
    <m/>
    <m/>
    <m/>
    <m/>
    <m/>
    <m/>
    <n v="0"/>
    <n v="0"/>
    <n v="0"/>
    <n v="0"/>
    <m/>
    <m/>
    <n v="0"/>
    <n v="0"/>
  </r>
  <r>
    <x v="6"/>
    <s v="Louisiana Technical College-Oakdale Campus"/>
    <n v="160047"/>
    <x v="13"/>
    <s v="sem"/>
    <s v="sem"/>
    <m/>
    <m/>
    <m/>
    <m/>
    <m/>
    <m/>
    <m/>
    <m/>
    <n v="0"/>
    <n v="0"/>
    <n v="0"/>
    <n v="0"/>
    <m/>
    <m/>
    <n v="0"/>
    <n v="0"/>
    <m/>
    <m/>
    <m/>
    <m/>
    <m/>
    <m/>
    <m/>
    <m/>
    <n v="0"/>
    <n v="0"/>
    <n v="0"/>
    <n v="0"/>
    <m/>
    <m/>
    <n v="0"/>
    <n v="0"/>
  </r>
  <r>
    <x v="6"/>
    <s v="Louisiana Technical College-River Parishes Campus"/>
    <n v="160311"/>
    <x v="13"/>
    <s v="sem"/>
    <s v="sem"/>
    <m/>
    <m/>
    <m/>
    <m/>
    <m/>
    <m/>
    <m/>
    <m/>
    <n v="0"/>
    <n v="0"/>
    <n v="0"/>
    <n v="0"/>
    <m/>
    <m/>
    <n v="0"/>
    <n v="0"/>
    <m/>
    <m/>
    <m/>
    <m/>
    <m/>
    <m/>
    <m/>
    <m/>
    <n v="0"/>
    <n v="0"/>
    <n v="0"/>
    <n v="0"/>
    <m/>
    <m/>
    <n v="0"/>
    <n v="0"/>
  </r>
  <r>
    <x v="6"/>
    <s v="Louisiana Technical College-Ruston Campus"/>
    <n v="160366"/>
    <x v="13"/>
    <s v="sem"/>
    <s v="sem"/>
    <m/>
    <m/>
    <m/>
    <m/>
    <m/>
    <m/>
    <m/>
    <m/>
    <n v="0"/>
    <n v="0"/>
    <n v="0"/>
    <n v="0"/>
    <m/>
    <m/>
    <n v="0"/>
    <n v="0"/>
    <m/>
    <m/>
    <m/>
    <m/>
    <m/>
    <m/>
    <m/>
    <m/>
    <n v="0"/>
    <n v="0"/>
    <n v="0"/>
    <n v="0"/>
    <m/>
    <m/>
    <n v="0"/>
    <n v="0"/>
  </r>
  <r>
    <x v="6"/>
    <s v="Louisiana Technical College-Sabine Valley Campus"/>
    <n v="160384"/>
    <x v="13"/>
    <s v="sem"/>
    <s v="sem"/>
    <m/>
    <m/>
    <m/>
    <m/>
    <m/>
    <m/>
    <m/>
    <m/>
    <n v="0"/>
    <n v="0"/>
    <n v="0"/>
    <n v="0"/>
    <m/>
    <m/>
    <n v="0"/>
    <n v="0"/>
    <m/>
    <m/>
    <m/>
    <m/>
    <m/>
    <m/>
    <m/>
    <m/>
    <n v="0"/>
    <n v="0"/>
    <n v="0"/>
    <n v="0"/>
    <m/>
    <m/>
    <n v="0"/>
    <n v="0"/>
  </r>
  <r>
    <x v="6"/>
    <s v="Louisiana Technical College-Shelby M. Jackson Campus"/>
    <n v="158583"/>
    <x v="13"/>
    <s v="sem"/>
    <s v="sem"/>
    <m/>
    <m/>
    <m/>
    <m/>
    <m/>
    <m/>
    <m/>
    <m/>
    <n v="0"/>
    <n v="0"/>
    <n v="0"/>
    <n v="0"/>
    <m/>
    <m/>
    <n v="0"/>
    <n v="0"/>
    <m/>
    <m/>
    <m/>
    <m/>
    <m/>
    <m/>
    <m/>
    <m/>
    <n v="0"/>
    <n v="0"/>
    <n v="0"/>
    <n v="0"/>
    <m/>
    <m/>
    <n v="0"/>
    <n v="0"/>
  </r>
  <r>
    <x v="6"/>
    <s v="Louisiana Technical College-Shreveport/Bossier Campus"/>
    <n v="160427"/>
    <x v="13"/>
    <s v="sem"/>
    <s v="sem"/>
    <m/>
    <m/>
    <m/>
    <m/>
    <m/>
    <m/>
    <m/>
    <m/>
    <n v="0"/>
    <n v="0"/>
    <n v="0"/>
    <n v="0"/>
    <m/>
    <m/>
    <n v="0"/>
    <n v="0"/>
    <m/>
    <m/>
    <m/>
    <m/>
    <m/>
    <m/>
    <m/>
    <m/>
    <n v="0"/>
    <n v="0"/>
    <n v="0"/>
    <n v="0"/>
    <m/>
    <m/>
    <n v="0"/>
    <n v="0"/>
  </r>
  <r>
    <x v="6"/>
    <s v="Louisiana Technical College-Sidney N. Collier Campus"/>
    <n v="160436"/>
    <x v="13"/>
    <s v="sem"/>
    <s v="sem"/>
    <m/>
    <m/>
    <m/>
    <m/>
    <m/>
    <m/>
    <m/>
    <m/>
    <n v="0"/>
    <n v="0"/>
    <n v="0"/>
    <n v="0"/>
    <m/>
    <m/>
    <n v="0"/>
    <n v="0"/>
    <m/>
    <m/>
    <m/>
    <m/>
    <m/>
    <m/>
    <m/>
    <m/>
    <n v="0"/>
    <n v="0"/>
    <n v="0"/>
    <n v="0"/>
    <m/>
    <m/>
    <n v="0"/>
    <n v="0"/>
  </r>
  <r>
    <x v="6"/>
    <s v="Louisiana Technical College-Slidell Campus"/>
    <n v="160454"/>
    <x v="13"/>
    <s v="sem"/>
    <s v="sem"/>
    <m/>
    <m/>
    <m/>
    <m/>
    <m/>
    <m/>
    <m/>
    <m/>
    <n v="0"/>
    <n v="0"/>
    <n v="0"/>
    <n v="0"/>
    <m/>
    <m/>
    <n v="0"/>
    <n v="0"/>
    <m/>
    <m/>
    <m/>
    <m/>
    <m/>
    <m/>
    <m/>
    <m/>
    <n v="0"/>
    <n v="0"/>
    <n v="0"/>
    <n v="0"/>
    <m/>
    <m/>
    <n v="0"/>
    <n v="0"/>
  </r>
  <r>
    <x v="6"/>
    <s v="Louisiana Technical College-Sullivan Campus"/>
    <n v="160667"/>
    <x v="13"/>
    <s v="sem"/>
    <s v="sem"/>
    <m/>
    <m/>
    <m/>
    <m/>
    <m/>
    <m/>
    <m/>
    <m/>
    <n v="0"/>
    <n v="0"/>
    <n v="0"/>
    <n v="0"/>
    <m/>
    <m/>
    <n v="0"/>
    <n v="0"/>
    <m/>
    <m/>
    <m/>
    <m/>
    <m/>
    <m/>
    <m/>
    <m/>
    <n v="0"/>
    <n v="0"/>
    <n v="0"/>
    <n v="0"/>
    <m/>
    <m/>
    <n v="0"/>
    <n v="0"/>
  </r>
  <r>
    <x v="6"/>
    <s v="Louisiana Technical College-T.H. Harris Campus"/>
    <n v="160676"/>
    <x v="13"/>
    <s v="sem"/>
    <s v="sem"/>
    <m/>
    <m/>
    <m/>
    <m/>
    <m/>
    <m/>
    <m/>
    <m/>
    <n v="0"/>
    <n v="0"/>
    <n v="0"/>
    <n v="0"/>
    <m/>
    <m/>
    <n v="0"/>
    <n v="0"/>
    <m/>
    <m/>
    <m/>
    <m/>
    <m/>
    <m/>
    <m/>
    <m/>
    <n v="0"/>
    <n v="0"/>
    <n v="0"/>
    <n v="0"/>
    <m/>
    <m/>
    <n v="0"/>
    <n v="0"/>
  </r>
  <r>
    <x v="6"/>
    <s v="Louisiana Technical College-Tallulah Campus"/>
    <n v="160685"/>
    <x v="13"/>
    <s v="sem"/>
    <s v="sem"/>
    <m/>
    <m/>
    <m/>
    <m/>
    <m/>
    <m/>
    <m/>
    <m/>
    <n v="0"/>
    <n v="0"/>
    <n v="0"/>
    <n v="0"/>
    <m/>
    <m/>
    <n v="0"/>
    <n v="0"/>
    <m/>
    <m/>
    <m/>
    <m/>
    <m/>
    <m/>
    <m/>
    <m/>
    <n v="0"/>
    <n v="0"/>
    <n v="0"/>
    <n v="0"/>
    <m/>
    <m/>
    <n v="0"/>
    <n v="0"/>
  </r>
  <r>
    <x v="6"/>
    <s v="Louisiana Technical College-Teche Area Campus"/>
    <n v="160694"/>
    <x v="13"/>
    <s v="sem"/>
    <s v="sem"/>
    <m/>
    <m/>
    <m/>
    <m/>
    <m/>
    <m/>
    <m/>
    <m/>
    <n v="0"/>
    <n v="0"/>
    <n v="0"/>
    <n v="0"/>
    <m/>
    <m/>
    <n v="0"/>
    <n v="0"/>
    <m/>
    <m/>
    <m/>
    <m/>
    <m/>
    <m/>
    <m/>
    <m/>
    <n v="0"/>
    <n v="0"/>
    <n v="0"/>
    <n v="0"/>
    <m/>
    <m/>
    <n v="0"/>
    <n v="0"/>
  </r>
  <r>
    <x v="6"/>
    <s v="Louisiana Technical College-West Jefferson Campus"/>
    <n v="159267"/>
    <x v="13"/>
    <s v="sem"/>
    <s v="sem"/>
    <m/>
    <m/>
    <m/>
    <m/>
    <m/>
    <m/>
    <m/>
    <m/>
    <n v="0"/>
    <n v="0"/>
    <n v="0"/>
    <n v="0"/>
    <m/>
    <m/>
    <n v="0"/>
    <n v="0"/>
    <m/>
    <m/>
    <m/>
    <m/>
    <m/>
    <m/>
    <m/>
    <m/>
    <n v="0"/>
    <n v="0"/>
    <n v="0"/>
    <n v="0"/>
    <m/>
    <m/>
    <n v="0"/>
    <n v="0"/>
  </r>
  <r>
    <x v="6"/>
    <s v="Louisiana Technical College-Westside Campus"/>
    <n v="160870"/>
    <x v="13"/>
    <s v="sem"/>
    <s v="sem"/>
    <m/>
    <m/>
    <m/>
    <m/>
    <m/>
    <m/>
    <m/>
    <m/>
    <n v="0"/>
    <n v="0"/>
    <n v="0"/>
    <n v="0"/>
    <m/>
    <m/>
    <n v="0"/>
    <n v="0"/>
    <m/>
    <m/>
    <m/>
    <m/>
    <m/>
    <m/>
    <m/>
    <m/>
    <n v="0"/>
    <n v="0"/>
    <n v="0"/>
    <n v="0"/>
    <m/>
    <m/>
    <n v="0"/>
    <n v="0"/>
  </r>
  <r>
    <x v="6"/>
    <s v="Louisiana Technical College-Young Memorial Campus"/>
    <n v="160913"/>
    <x v="13"/>
    <s v="sem"/>
    <s v="sem"/>
    <m/>
    <m/>
    <m/>
    <m/>
    <m/>
    <m/>
    <m/>
    <m/>
    <n v="0"/>
    <n v="0"/>
    <n v="0"/>
    <n v="0"/>
    <m/>
    <m/>
    <n v="0"/>
    <n v="0"/>
    <m/>
    <m/>
    <m/>
    <m/>
    <m/>
    <m/>
    <m/>
    <m/>
    <n v="0"/>
    <n v="0"/>
    <n v="0"/>
    <n v="0"/>
    <m/>
    <m/>
    <n v="0"/>
    <n v="0"/>
  </r>
  <r>
    <x v="7"/>
    <s v="University of Maryland College Park"/>
    <n v="163286"/>
    <x v="0"/>
    <s v="sem"/>
    <s v="sem"/>
    <n v="12191"/>
    <n v="12990"/>
    <n v="355682"/>
    <n v="359337"/>
    <n v="39224"/>
    <n v="41691"/>
    <n v="371990"/>
    <n v="377515.5"/>
    <n v="779087"/>
    <n v="25969.566666666666"/>
    <n v="791533.5"/>
    <n v="26384.45"/>
    <m/>
    <m/>
    <n v="0"/>
    <n v="0"/>
    <m/>
    <m/>
    <m/>
    <m/>
    <m/>
    <m/>
    <m/>
    <m/>
    <n v="0"/>
    <n v="0"/>
    <n v="0"/>
    <n v="0"/>
    <m/>
    <m/>
    <n v="0"/>
    <n v="0"/>
  </r>
  <r>
    <x v="7"/>
    <s v="University of Maryland, Baltimore County"/>
    <n v="163268"/>
    <x v="1"/>
    <s v="sem"/>
    <s v="sem"/>
    <n v="5131"/>
    <n v="4695"/>
    <n v="119669"/>
    <n v="123921.5"/>
    <n v="15657"/>
    <n v="15551"/>
    <n v="131840"/>
    <n v="136196.5"/>
    <n v="272297"/>
    <n v="9076.5666666666675"/>
    <n v="280364"/>
    <n v="9345.4666666666672"/>
    <m/>
    <m/>
    <n v="0"/>
    <n v="0"/>
    <m/>
    <m/>
    <m/>
    <m/>
    <m/>
    <m/>
    <m/>
    <m/>
    <n v="0"/>
    <n v="0"/>
    <n v="0"/>
    <n v="0"/>
    <m/>
    <m/>
    <n v="0"/>
    <n v="0"/>
  </r>
  <r>
    <x v="7"/>
    <s v="Morgan State University"/>
    <n v="163453"/>
    <x v="2"/>
    <s v="sem"/>
    <s v="sem"/>
    <n v="729"/>
    <n v="487"/>
    <n v="76967"/>
    <n v="79508"/>
    <n v="3609"/>
    <n v="2314"/>
    <n v="82732"/>
    <n v="85010"/>
    <n v="164037"/>
    <n v="5467.9"/>
    <n v="167319"/>
    <n v="5577.3"/>
    <m/>
    <m/>
    <n v="0"/>
    <n v="0"/>
    <m/>
    <m/>
    <m/>
    <m/>
    <m/>
    <m/>
    <m/>
    <m/>
    <n v="0"/>
    <n v="0"/>
    <n v="0"/>
    <n v="0"/>
    <m/>
    <m/>
    <n v="0"/>
    <n v="0"/>
  </r>
  <r>
    <x v="7"/>
    <s v="Towson University "/>
    <n v="164076"/>
    <x v="2"/>
    <s v="sem"/>
    <s v="sem"/>
    <n v="6050"/>
    <n v="6677"/>
    <n v="208688"/>
    <n v="227357"/>
    <n v="21338"/>
    <n v="24793"/>
    <n v="236613"/>
    <n v="239803"/>
    <n v="472689"/>
    <n v="15756.3"/>
    <n v="498630"/>
    <n v="16621"/>
    <m/>
    <m/>
    <n v="0"/>
    <n v="0"/>
    <m/>
    <m/>
    <m/>
    <m/>
    <m/>
    <m/>
    <m/>
    <m/>
    <n v="0"/>
    <n v="0"/>
    <n v="0"/>
    <n v="0"/>
    <m/>
    <m/>
    <n v="0"/>
    <n v="0"/>
  </r>
  <r>
    <x v="7"/>
    <s v="Bowie State University "/>
    <n v="162007"/>
    <x v="3"/>
    <s v="sem"/>
    <s v="sem"/>
    <n v="1179"/>
    <n v="1051"/>
    <n v="54115"/>
    <n v="57624"/>
    <n v="3456"/>
    <n v="3241"/>
    <n v="59724"/>
    <n v="59695"/>
    <n v="118474"/>
    <n v="3949.1333333333332"/>
    <n v="121611"/>
    <n v="4053.7"/>
    <m/>
    <m/>
    <n v="0"/>
    <n v="0"/>
    <m/>
    <m/>
    <m/>
    <m/>
    <m/>
    <m/>
    <m/>
    <m/>
    <n v="0"/>
    <n v="0"/>
    <n v="0"/>
    <n v="0"/>
    <m/>
    <m/>
    <n v="0"/>
    <n v="0"/>
  </r>
  <r>
    <x v="7"/>
    <s v="Coppin State University"/>
    <n v="162283"/>
    <x v="3"/>
    <s v="sem"/>
    <s v="sem"/>
    <n v="776"/>
    <n v="907"/>
    <n v="37980"/>
    <n v="40150"/>
    <n v="2468"/>
    <n v="2928"/>
    <n v="43365"/>
    <n v="42930"/>
    <n v="84589"/>
    <n v="2819.6333333333332"/>
    <n v="86915"/>
    <n v="2897.1666666666665"/>
    <m/>
    <m/>
    <n v="0"/>
    <n v="0"/>
    <m/>
    <m/>
    <m/>
    <m/>
    <m/>
    <m/>
    <m/>
    <m/>
    <n v="0"/>
    <n v="0"/>
    <n v="0"/>
    <n v="0"/>
    <m/>
    <m/>
    <n v="0"/>
    <n v="0"/>
  </r>
  <r>
    <x v="7"/>
    <s v="Frostburg State University "/>
    <n v="162584"/>
    <x v="3"/>
    <s v="sem"/>
    <s v="sem"/>
    <n v="2214"/>
    <n v="2369"/>
    <n v="57137"/>
    <n v="59546"/>
    <n v="3855"/>
    <n v="4427"/>
    <n v="64173"/>
    <n v="66617"/>
    <n v="127379"/>
    <n v="4245.9666666666662"/>
    <n v="132959"/>
    <n v="4431.9666666666662"/>
    <m/>
    <m/>
    <n v="0"/>
    <n v="0"/>
    <m/>
    <m/>
    <m/>
    <m/>
    <m/>
    <m/>
    <m/>
    <m/>
    <n v="0"/>
    <n v="0"/>
    <n v="0"/>
    <n v="0"/>
    <m/>
    <m/>
    <n v="0"/>
    <n v="0"/>
  </r>
  <r>
    <x v="7"/>
    <s v="Salisbury University "/>
    <n v="163851"/>
    <x v="3"/>
    <s v="sem"/>
    <s v="sem"/>
    <n v="6033"/>
    <n v="5790"/>
    <n v="96080"/>
    <n v="101056"/>
    <n v="5909"/>
    <n v="6076"/>
    <n v="105255"/>
    <n v="108346"/>
    <n v="213277"/>
    <n v="7109.2333333333336"/>
    <n v="221268"/>
    <n v="7375.6"/>
    <m/>
    <m/>
    <n v="0"/>
    <n v="0"/>
    <m/>
    <m/>
    <m/>
    <m/>
    <m/>
    <m/>
    <m/>
    <m/>
    <n v="0"/>
    <n v="0"/>
    <n v="0"/>
    <n v="0"/>
    <m/>
    <m/>
    <n v="0"/>
    <n v="0"/>
  </r>
  <r>
    <x v="7"/>
    <s v="University of Baltimore"/>
    <n v="161873"/>
    <x v="3"/>
    <s v="sem"/>
    <s v="sem"/>
    <n v="0"/>
    <n v="120"/>
    <n v="23227"/>
    <n v="26229"/>
    <n v="3913"/>
    <n v="4236"/>
    <n v="27459"/>
    <n v="31703"/>
    <n v="54599"/>
    <n v="1819.9666666666667"/>
    <n v="62288"/>
    <n v="2076.2666666666669"/>
    <m/>
    <m/>
    <n v="0"/>
    <n v="0"/>
    <m/>
    <m/>
    <m/>
    <m/>
    <m/>
    <m/>
    <m/>
    <m/>
    <n v="0"/>
    <n v="0"/>
    <n v="0"/>
    <n v="0"/>
    <m/>
    <m/>
    <n v="0"/>
    <n v="0"/>
  </r>
  <r>
    <x v="7"/>
    <s v="University of Maryland Eastern Shore "/>
    <n v="163338"/>
    <x v="3"/>
    <s v="sem"/>
    <s v="sem"/>
    <n v="972"/>
    <n v="1111"/>
    <n v="45460"/>
    <n v="50160"/>
    <n v="2659"/>
    <n v="3950"/>
    <n v="56323"/>
    <n v="56830"/>
    <n v="105414"/>
    <n v="3513.8"/>
    <n v="112051"/>
    <n v="3735.0333333333333"/>
    <m/>
    <m/>
    <n v="0"/>
    <n v="0"/>
    <m/>
    <m/>
    <m/>
    <m/>
    <m/>
    <m/>
    <m/>
    <m/>
    <n v="0"/>
    <n v="0"/>
    <n v="0"/>
    <n v="0"/>
    <m/>
    <m/>
    <n v="0"/>
    <n v="0"/>
  </r>
  <r>
    <x v="7"/>
    <s v="Saint Mary's College of Maryland"/>
    <n v="163912"/>
    <x v="5"/>
    <s v="sem"/>
    <s v="sem"/>
    <n v="0"/>
    <n v="0"/>
    <n v="29724.55"/>
    <n v="29956.5"/>
    <n v="1343"/>
    <n v="1171"/>
    <n v="30866"/>
    <n v="31122"/>
    <n v="61933.55"/>
    <n v="2064.4516666666668"/>
    <n v="62249.5"/>
    <n v="2074.9833333333331"/>
    <m/>
    <m/>
    <n v="0"/>
    <n v="0"/>
    <m/>
    <m/>
    <m/>
    <m/>
    <m/>
    <m/>
    <m/>
    <m/>
    <n v="0"/>
    <n v="0"/>
    <n v="0"/>
    <n v="0"/>
    <m/>
    <m/>
    <n v="0"/>
    <n v="0"/>
  </r>
  <r>
    <x v="7"/>
    <s v="Anne Arundel Community College "/>
    <n v="161767"/>
    <x v="6"/>
    <s v="sem"/>
    <s v="sem"/>
    <n v="2274"/>
    <n v="2530"/>
    <n v="114635"/>
    <n v="122319"/>
    <n v="27894"/>
    <n v="32088"/>
    <n v="131297"/>
    <n v="146394"/>
    <n v="276100"/>
    <n v="9203.3333333333339"/>
    <n v="303331"/>
    <n v="10111.033333333333"/>
    <m/>
    <m/>
    <n v="0"/>
    <n v="0"/>
    <m/>
    <m/>
    <m/>
    <m/>
    <m/>
    <m/>
    <m/>
    <m/>
    <n v="0"/>
    <n v="0"/>
    <n v="0"/>
    <n v="0"/>
    <m/>
    <m/>
    <n v="0"/>
    <n v="0"/>
  </r>
  <r>
    <x v="7"/>
    <s v="Community College of Baltimore County (all campuses)"/>
    <n v="434672"/>
    <x v="6"/>
    <s v="sem"/>
    <s v="sem"/>
    <n v="7204.5"/>
    <n v="9816.5"/>
    <n v="151390.5"/>
    <n v="165109"/>
    <n v="37577"/>
    <n v="40594"/>
    <n v="174835.5"/>
    <n v="204832"/>
    <n v="371007.5"/>
    <n v="12366.916666666666"/>
    <n v="420351.5"/>
    <n v="14011.716666666667"/>
    <m/>
    <m/>
    <n v="0"/>
    <n v="0"/>
    <m/>
    <m/>
    <m/>
    <m/>
    <m/>
    <m/>
    <m/>
    <m/>
    <n v="0"/>
    <n v="0"/>
    <n v="0"/>
    <n v="0"/>
    <m/>
    <m/>
    <n v="0"/>
    <n v="0"/>
  </r>
  <r>
    <x v="7"/>
    <s v="Montgomery College (all campuses)"/>
    <n v="163426"/>
    <x v="6"/>
    <s v="sem"/>
    <s v="sem"/>
    <n v="2379"/>
    <n v="2638"/>
    <n v="233700"/>
    <n v="248118"/>
    <n v="78456"/>
    <n v="84798"/>
    <n v="255761"/>
    <n v="299288"/>
    <n v="570296"/>
    <n v="19009.866666666665"/>
    <n v="634842"/>
    <n v="21161.4"/>
    <m/>
    <m/>
    <n v="0"/>
    <n v="0"/>
    <m/>
    <m/>
    <m/>
    <m/>
    <m/>
    <m/>
    <m/>
    <m/>
    <n v="0"/>
    <n v="0"/>
    <n v="0"/>
    <n v="0"/>
    <m/>
    <m/>
    <n v="0"/>
    <n v="0"/>
  </r>
  <r>
    <x v="7"/>
    <s v="Prince George's Community College "/>
    <n v="163657"/>
    <x v="6"/>
    <s v="sem"/>
    <s v="sem"/>
    <n v="0"/>
    <n v="926"/>
    <n v="90676"/>
    <n v="91405"/>
    <n v="24846"/>
    <n v="27404"/>
    <n v="95960"/>
    <n v="117826"/>
    <n v="211482"/>
    <n v="7049.4"/>
    <n v="237561"/>
    <n v="7918.7"/>
    <m/>
    <m/>
    <n v="0"/>
    <n v="0"/>
    <m/>
    <m/>
    <m/>
    <m/>
    <m/>
    <m/>
    <m/>
    <m/>
    <n v="0"/>
    <n v="0"/>
    <n v="0"/>
    <n v="0"/>
    <m/>
    <m/>
    <n v="0"/>
    <n v="0"/>
  </r>
  <r>
    <x v="7"/>
    <s v="Allegany College of Maryland"/>
    <n v="161688"/>
    <x v="7"/>
    <s v="sem"/>
    <s v="sem"/>
    <n v="0"/>
    <n v="0"/>
    <n v="32391"/>
    <n v="33769"/>
    <n v="3957"/>
    <n v="4292"/>
    <n v="37755"/>
    <n v="40352"/>
    <n v="74103"/>
    <n v="2470.1"/>
    <n v="78413"/>
    <n v="2613.7666666666669"/>
    <m/>
    <m/>
    <n v="0"/>
    <n v="0"/>
    <m/>
    <m/>
    <m/>
    <m/>
    <m/>
    <m/>
    <m/>
    <m/>
    <n v="0"/>
    <n v="0"/>
    <n v="0"/>
    <n v="0"/>
    <m/>
    <m/>
    <n v="0"/>
    <n v="0"/>
  </r>
  <r>
    <x v="7"/>
    <s v="Baltimore City Community College"/>
    <n v="161864"/>
    <x v="7"/>
    <s v="sem"/>
    <s v="sem"/>
    <n v="1969"/>
    <n v="1984"/>
    <n v="63348"/>
    <n v="61224"/>
    <n v="13124"/>
    <n v="13699"/>
    <n v="67594"/>
    <n v="64434"/>
    <n v="146035"/>
    <n v="4867.833333333333"/>
    <n v="141341"/>
    <n v="4711.3666666666668"/>
    <m/>
    <m/>
    <n v="0"/>
    <n v="0"/>
    <m/>
    <m/>
    <m/>
    <m/>
    <m/>
    <m/>
    <m/>
    <m/>
    <n v="0"/>
    <n v="0"/>
    <n v="0"/>
    <n v="0"/>
    <m/>
    <m/>
    <n v="0"/>
    <n v="0"/>
  </r>
  <r>
    <x v="7"/>
    <s v="College of Southern Maryland"/>
    <n v="162122"/>
    <x v="7"/>
    <s v="sem"/>
    <s v="sem"/>
    <n v="966"/>
    <n v="0"/>
    <n v="58370"/>
    <n v="65843"/>
    <n v="11624"/>
    <n v="13945"/>
    <n v="71463"/>
    <n v="77521"/>
    <n v="142423"/>
    <n v="4747.4333333333334"/>
    <n v="157309"/>
    <n v="5243.6333333333332"/>
    <m/>
    <m/>
    <n v="0"/>
    <n v="0"/>
    <m/>
    <m/>
    <m/>
    <m/>
    <m/>
    <m/>
    <m/>
    <m/>
    <n v="0"/>
    <n v="0"/>
    <n v="0"/>
    <n v="0"/>
    <m/>
    <m/>
    <n v="0"/>
    <n v="0"/>
  </r>
  <r>
    <x v="7"/>
    <s v="Frederick Community College "/>
    <n v="162557"/>
    <x v="7"/>
    <s v="sem"/>
    <s v="sem"/>
    <n v="1873"/>
    <n v="2195"/>
    <n v="43091"/>
    <n v="47729"/>
    <n v="9320"/>
    <n v="11071"/>
    <n v="43334"/>
    <n v="13790"/>
    <n v="97618"/>
    <n v="3253.9333333333334"/>
    <n v="74785"/>
    <n v="2492.8333333333335"/>
    <m/>
    <m/>
    <n v="0"/>
    <n v="0"/>
    <m/>
    <m/>
    <m/>
    <m/>
    <m/>
    <m/>
    <m/>
    <m/>
    <n v="0"/>
    <n v="0"/>
    <n v="0"/>
    <n v="0"/>
    <m/>
    <m/>
    <n v="0"/>
    <n v="0"/>
  </r>
  <r>
    <x v="7"/>
    <s v="Hagerstown Community College "/>
    <n v="162690"/>
    <x v="7"/>
    <s v="sem"/>
    <s v="sem"/>
    <n v="0"/>
    <n v="0"/>
    <n v="31106"/>
    <n v="35132"/>
    <n v="8077"/>
    <n v="10169"/>
    <n v="35963"/>
    <n v="40922"/>
    <n v="75146"/>
    <n v="2504.8666666666668"/>
    <n v="86223"/>
    <n v="2874.1"/>
    <m/>
    <m/>
    <n v="0"/>
    <n v="0"/>
    <m/>
    <m/>
    <m/>
    <m/>
    <m/>
    <m/>
    <m/>
    <m/>
    <n v="0"/>
    <n v="0"/>
    <n v="0"/>
    <n v="0"/>
    <m/>
    <m/>
    <n v="0"/>
    <n v="0"/>
  </r>
  <r>
    <x v="7"/>
    <s v="Harford Community College "/>
    <n v="162706"/>
    <x v="7"/>
    <s v="sem"/>
    <s v="sem"/>
    <n v="0"/>
    <n v="1390"/>
    <n v="47134"/>
    <n v="51117"/>
    <n v="9359"/>
    <n v="9746.5"/>
    <n v="61178"/>
    <n v="61208.5"/>
    <n v="117671"/>
    <n v="3922.3666666666668"/>
    <n v="123462"/>
    <n v="4115.3999999999996"/>
    <m/>
    <m/>
    <n v="0"/>
    <n v="0"/>
    <m/>
    <m/>
    <m/>
    <m/>
    <m/>
    <m/>
    <m/>
    <m/>
    <n v="0"/>
    <n v="0"/>
    <n v="0"/>
    <n v="0"/>
    <m/>
    <m/>
    <n v="0"/>
    <n v="0"/>
  </r>
  <r>
    <x v="7"/>
    <s v="Howard Community College "/>
    <n v="162779"/>
    <x v="7"/>
    <s v="sem"/>
    <s v="sem"/>
    <n v="4048"/>
    <n v="4403"/>
    <n v="58216"/>
    <n v="64017"/>
    <n v="13313"/>
    <n v="14561"/>
    <n v="68759"/>
    <n v="76903"/>
    <n v="144336"/>
    <n v="4811.2"/>
    <n v="159884"/>
    <n v="5329.4666666666662"/>
    <m/>
    <m/>
    <n v="0"/>
    <n v="0"/>
    <m/>
    <m/>
    <m/>
    <m/>
    <m/>
    <m/>
    <m/>
    <m/>
    <n v="0"/>
    <n v="0"/>
    <n v="0"/>
    <n v="0"/>
    <m/>
    <m/>
    <n v="0"/>
    <n v="0"/>
  </r>
  <r>
    <x v="7"/>
    <s v="Carroll Community College"/>
    <n v="405872"/>
    <x v="8"/>
    <s v="sem"/>
    <s v="sem"/>
    <n v="1486"/>
    <n v="1706"/>
    <n v="29581"/>
    <n v="29534"/>
    <n v="5659"/>
    <n v="6192"/>
    <n v="32916"/>
    <n v="36626"/>
    <n v="69642"/>
    <n v="2321.4"/>
    <n v="74058"/>
    <n v="2468.6"/>
    <m/>
    <m/>
    <n v="0"/>
    <n v="0"/>
    <m/>
    <m/>
    <m/>
    <m/>
    <m/>
    <m/>
    <m/>
    <m/>
    <n v="0"/>
    <n v="0"/>
    <n v="0"/>
    <n v="0"/>
    <m/>
    <m/>
    <n v="0"/>
    <n v="0"/>
  </r>
  <r>
    <x v="7"/>
    <s v="Cecil Community College "/>
    <n v="162104"/>
    <x v="8"/>
    <s v="sem"/>
    <s v="sem"/>
    <n v="0"/>
    <n v="0"/>
    <n v="17758"/>
    <n v="20000.5"/>
    <n v="3332"/>
    <n v="3332"/>
    <n v="21604"/>
    <n v="21589"/>
    <n v="42694"/>
    <n v="1423.1333333333334"/>
    <n v="44921.5"/>
    <n v="1497.3833333333334"/>
    <m/>
    <m/>
    <n v="0"/>
    <n v="0"/>
    <m/>
    <m/>
    <m/>
    <m/>
    <m/>
    <m/>
    <m/>
    <m/>
    <n v="0"/>
    <n v="0"/>
    <n v="0"/>
    <n v="0"/>
    <m/>
    <m/>
    <n v="0"/>
    <n v="0"/>
  </r>
  <r>
    <x v="7"/>
    <s v="Chesapeake College "/>
    <n v="162168"/>
    <x v="8"/>
    <s v="sem"/>
    <s v="sem"/>
    <n v="142"/>
    <n v="36"/>
    <n v="19939"/>
    <n v="21854"/>
    <n v="2553"/>
    <n v="3110"/>
    <n v="22567"/>
    <n v="25506"/>
    <n v="45201"/>
    <n v="1506.7"/>
    <n v="50506"/>
    <n v="1683.5333333333333"/>
    <m/>
    <m/>
    <n v="0"/>
    <n v="0"/>
    <m/>
    <m/>
    <m/>
    <m/>
    <m/>
    <m/>
    <m/>
    <m/>
    <n v="0"/>
    <n v="0"/>
    <n v="0"/>
    <n v="0"/>
    <m/>
    <m/>
    <n v="0"/>
    <n v="0"/>
  </r>
  <r>
    <x v="7"/>
    <s v="Garrett College "/>
    <n v="162609"/>
    <x v="8"/>
    <s v="sem"/>
    <s v="sem"/>
    <n v="144"/>
    <n v="191"/>
    <n v="8480.75"/>
    <n v="7834.25"/>
    <n v="567"/>
    <n v="608"/>
    <n v="9561.75"/>
    <n v="10460.299999999999"/>
    <n v="18753.5"/>
    <n v="625.11666666666667"/>
    <n v="19093.55"/>
    <n v="636.4516666666666"/>
    <m/>
    <m/>
    <n v="0"/>
    <n v="0"/>
    <m/>
    <m/>
    <m/>
    <m/>
    <m/>
    <m/>
    <m/>
    <m/>
    <n v="0"/>
    <n v="0"/>
    <n v="0"/>
    <n v="0"/>
    <m/>
    <m/>
    <n v="0"/>
    <n v="0"/>
  </r>
  <r>
    <x v="7"/>
    <s v="Wor-Wic Community College "/>
    <n v="164313"/>
    <x v="8"/>
    <s v="sem"/>
    <s v="sem"/>
    <n v="0"/>
    <n v="0"/>
    <n v="26286"/>
    <n v="30124"/>
    <n v="7405"/>
    <n v="8049"/>
    <n v="32298"/>
    <n v="35520"/>
    <n v="65989"/>
    <n v="2199.6333333333332"/>
    <n v="73693"/>
    <n v="2456.4333333333334"/>
    <m/>
    <m/>
    <n v="0"/>
    <n v="0"/>
    <m/>
    <m/>
    <m/>
    <m/>
    <m/>
    <m/>
    <m/>
    <m/>
    <n v="0"/>
    <n v="0"/>
    <n v="0"/>
    <n v="0"/>
    <m/>
    <m/>
    <n v="0"/>
    <n v="0"/>
  </r>
  <r>
    <x v="8"/>
    <s v="Mississippi State University"/>
    <n v="176080"/>
    <x v="0"/>
    <s v="sem"/>
    <s v="sem"/>
    <m/>
    <m/>
    <n v="158091"/>
    <n v="169888"/>
    <n v="35135"/>
    <n v="37546"/>
    <n v="182510"/>
    <n v="191418"/>
    <n v="375736"/>
    <n v="12524.533333333333"/>
    <n v="398852"/>
    <n v="13295.066666666668"/>
    <m/>
    <m/>
    <n v="0"/>
    <n v="0"/>
    <m/>
    <m/>
    <m/>
    <m/>
    <m/>
    <m/>
    <m/>
    <m/>
    <n v="0"/>
    <n v="0"/>
    <n v="0"/>
    <n v="0"/>
    <m/>
    <m/>
    <n v="0"/>
    <n v="0"/>
  </r>
  <r>
    <x v="8"/>
    <s v="University of Southern Mississippi"/>
    <n v="176372"/>
    <x v="0"/>
    <s v="sem"/>
    <s v="sem"/>
    <m/>
    <m/>
    <n v="134464"/>
    <n v="138867"/>
    <n v="33946.5"/>
    <n v="34516"/>
    <n v="152048"/>
    <n v="168476"/>
    <n v="320458.5"/>
    <n v="10681.95"/>
    <n v="341859"/>
    <n v="11395.3"/>
    <m/>
    <m/>
    <n v="0"/>
    <n v="0"/>
    <m/>
    <m/>
    <m/>
    <m/>
    <m/>
    <m/>
    <m/>
    <m/>
    <n v="0"/>
    <n v="0"/>
    <n v="0"/>
    <n v="0"/>
    <m/>
    <m/>
    <n v="0"/>
    <n v="0"/>
  </r>
  <r>
    <x v="8"/>
    <s v="Jackson State University "/>
    <n v="175856"/>
    <x v="1"/>
    <s v="sem"/>
    <s v="sem"/>
    <m/>
    <m/>
    <n v="71703.5"/>
    <n v="65914"/>
    <n v="11963"/>
    <n v="12438"/>
    <n v="72762.5"/>
    <n v="73042"/>
    <n v="156429"/>
    <n v="5214.3"/>
    <n v="151394"/>
    <n v="5046.4666666666662"/>
    <m/>
    <m/>
    <n v="0"/>
    <n v="0"/>
    <m/>
    <m/>
    <m/>
    <m/>
    <m/>
    <m/>
    <m/>
    <m/>
    <n v="0"/>
    <n v="0"/>
    <n v="0"/>
    <n v="0"/>
    <m/>
    <m/>
    <n v="0"/>
    <n v="0"/>
  </r>
  <r>
    <x v="8"/>
    <s v="University of Mississippi"/>
    <n v="176017"/>
    <x v="1"/>
    <s v="sem"/>
    <s v="sem"/>
    <m/>
    <m/>
    <n v="162147"/>
    <n v="163493"/>
    <n v="41185"/>
    <n v="42348"/>
    <n v="165340"/>
    <n v="176405"/>
    <n v="368672"/>
    <n v="12289.066666666668"/>
    <n v="382246"/>
    <n v="12741.533333333333"/>
    <m/>
    <m/>
    <n v="0"/>
    <n v="0"/>
    <m/>
    <m/>
    <m/>
    <m/>
    <m/>
    <m/>
    <m/>
    <m/>
    <n v="0"/>
    <n v="0"/>
    <n v="0"/>
    <n v="0"/>
    <m/>
    <m/>
    <n v="0"/>
    <n v="0"/>
  </r>
  <r>
    <x v="8"/>
    <s v="Alcorn State University"/>
    <n v="175342"/>
    <x v="3"/>
    <s v="sem"/>
    <s v="sem"/>
    <m/>
    <m/>
    <n v="34331"/>
    <n v="33348"/>
    <n v="8043"/>
    <n v="8213"/>
    <n v="35545"/>
    <n v="35612"/>
    <n v="77919"/>
    <n v="2597.3000000000002"/>
    <n v="77173"/>
    <n v="2572.4333333333334"/>
    <m/>
    <m/>
    <n v="0"/>
    <n v="0"/>
    <m/>
    <m/>
    <m/>
    <m/>
    <m/>
    <m/>
    <m/>
    <m/>
    <n v="0"/>
    <n v="0"/>
    <n v="0"/>
    <n v="0"/>
    <m/>
    <m/>
    <n v="0"/>
    <n v="0"/>
  </r>
  <r>
    <x v="8"/>
    <s v="Delta State University"/>
    <n v="175616"/>
    <x v="3"/>
    <s v="sem"/>
    <s v="sem"/>
    <m/>
    <m/>
    <n v="36647"/>
    <n v="34534"/>
    <n v="5842"/>
    <n v="5747"/>
    <n v="39349"/>
    <n v="38299"/>
    <n v="81838"/>
    <n v="2727.9333333333334"/>
    <n v="78580"/>
    <n v="2619.3333333333335"/>
    <m/>
    <m/>
    <n v="0"/>
    <n v="0"/>
    <m/>
    <m/>
    <m/>
    <m/>
    <m/>
    <m/>
    <m/>
    <m/>
    <n v="0"/>
    <n v="0"/>
    <n v="0"/>
    <n v="0"/>
    <m/>
    <m/>
    <n v="0"/>
    <n v="0"/>
  </r>
  <r>
    <x v="8"/>
    <s v="Mississippi Valley State University"/>
    <n v="176044"/>
    <x v="3"/>
    <s v="sem"/>
    <s v="sem"/>
    <m/>
    <m/>
    <n v="31044"/>
    <n v="30642"/>
    <n v="6790"/>
    <n v="8098"/>
    <n v="32580"/>
    <n v="31190"/>
    <n v="70414"/>
    <n v="2347.1333333333332"/>
    <n v="69930"/>
    <n v="2331"/>
    <m/>
    <m/>
    <n v="0"/>
    <n v="0"/>
    <m/>
    <m/>
    <m/>
    <m/>
    <m/>
    <m/>
    <m/>
    <m/>
    <n v="0"/>
    <n v="0"/>
    <n v="0"/>
    <n v="0"/>
    <m/>
    <m/>
    <n v="0"/>
    <n v="0"/>
  </r>
  <r>
    <x v="8"/>
    <s v="Hinds Community College "/>
    <n v="175786"/>
    <x v="6"/>
    <s v="sem"/>
    <s v="sem"/>
    <m/>
    <m/>
    <n v="106140"/>
    <n v="112905"/>
    <n v="20865"/>
    <n v="22952"/>
    <n v="125632"/>
    <n v="147328"/>
    <n v="252637"/>
    <n v="8421.2333333333336"/>
    <n v="283185"/>
    <n v="9439.5"/>
    <n v="1757"/>
    <n v="3003"/>
    <n v="252637"/>
    <n v="283185"/>
    <m/>
    <m/>
    <m/>
    <m/>
    <m/>
    <m/>
    <m/>
    <m/>
    <n v="0"/>
    <n v="0"/>
    <n v="0"/>
    <n v="0"/>
    <m/>
    <m/>
    <n v="0"/>
    <n v="0"/>
  </r>
  <r>
    <x v="8"/>
    <s v="Mississippi Gulf Coast Community College "/>
    <n v="176071"/>
    <x v="6"/>
    <s v="sem"/>
    <s v="sem"/>
    <m/>
    <m/>
    <n v="91265"/>
    <n v="93874"/>
    <n v="23590"/>
    <n v="24990"/>
    <n v="102962"/>
    <n v="117170"/>
    <n v="217817"/>
    <n v="7260.5666666666666"/>
    <n v="236034"/>
    <n v="7867.8"/>
    <n v="2179"/>
    <n v="1678"/>
    <n v="217817"/>
    <n v="236034"/>
    <m/>
    <m/>
    <m/>
    <m/>
    <m/>
    <m/>
    <m/>
    <m/>
    <n v="0"/>
    <n v="0"/>
    <n v="0"/>
    <n v="0"/>
    <m/>
    <m/>
    <n v="0"/>
    <n v="0"/>
  </r>
  <r>
    <x v="8"/>
    <s v="Northwest Mississippi Community College "/>
    <n v="176178"/>
    <x v="6"/>
    <s v="sem"/>
    <s v="sem"/>
    <m/>
    <m/>
    <n v="72133"/>
    <n v="78052"/>
    <n v="14665"/>
    <n v="17336"/>
    <n v="83032"/>
    <n v="97910"/>
    <n v="169830"/>
    <n v="5661"/>
    <n v="193298"/>
    <n v="6443.2666666666664"/>
    <n v="1179"/>
    <n v="1337"/>
    <n v="169830"/>
    <n v="193298"/>
    <m/>
    <m/>
    <m/>
    <m/>
    <m/>
    <m/>
    <m/>
    <m/>
    <n v="0"/>
    <n v="0"/>
    <n v="0"/>
    <n v="0"/>
    <m/>
    <m/>
    <n v="0"/>
    <n v="0"/>
  </r>
  <r>
    <x v="8"/>
    <s v="Copiah-Lincoln Community College "/>
    <n v="175573"/>
    <x v="7"/>
    <s v="sem"/>
    <s v="sem"/>
    <m/>
    <m/>
    <n v="38010"/>
    <n v="37008"/>
    <n v="6345"/>
    <n v="7772"/>
    <n v="41550"/>
    <n v="46326"/>
    <n v="85905"/>
    <n v="2863.5"/>
    <n v="91106"/>
    <n v="3036.8666666666668"/>
    <n v="1601"/>
    <n v="974"/>
    <n v="85905"/>
    <n v="91106"/>
    <m/>
    <m/>
    <m/>
    <m/>
    <m/>
    <m/>
    <m/>
    <m/>
    <n v="0"/>
    <n v="0"/>
    <n v="0"/>
    <n v="0"/>
    <m/>
    <m/>
    <n v="0"/>
    <n v="0"/>
  </r>
  <r>
    <x v="8"/>
    <s v="East Central Community College "/>
    <n v="175643"/>
    <x v="7"/>
    <s v="sem"/>
    <s v="sem"/>
    <m/>
    <m/>
    <n v="26910"/>
    <n v="28568"/>
    <n v="5223"/>
    <n v="6009"/>
    <n v="30342"/>
    <n v="33579"/>
    <n v="62475"/>
    <n v="2082.5"/>
    <n v="68156"/>
    <n v="2271.8666666666668"/>
    <n v="374"/>
    <n v="357"/>
    <n v="62475"/>
    <n v="68156"/>
    <m/>
    <m/>
    <m/>
    <m/>
    <m/>
    <m/>
    <m/>
    <m/>
    <n v="0"/>
    <n v="0"/>
    <n v="0"/>
    <n v="0"/>
    <m/>
    <m/>
    <n v="0"/>
    <n v="0"/>
  </r>
  <r>
    <x v="8"/>
    <s v="East Mississippi Community College "/>
    <n v="175652"/>
    <x v="7"/>
    <s v="sem"/>
    <s v="sem"/>
    <m/>
    <m/>
    <n v="42674"/>
    <n v="43526"/>
    <n v="11498"/>
    <n v="15412"/>
    <n v="48077"/>
    <n v="59118"/>
    <n v="102249"/>
    <n v="3408.3"/>
    <n v="118056"/>
    <n v="3935.2"/>
    <n v="20"/>
    <n v="927"/>
    <n v="102249"/>
    <n v="118056"/>
    <m/>
    <m/>
    <m/>
    <m/>
    <m/>
    <m/>
    <m/>
    <m/>
    <n v="0"/>
    <n v="0"/>
    <n v="0"/>
    <n v="0"/>
    <m/>
    <m/>
    <n v="0"/>
    <n v="0"/>
  </r>
  <r>
    <x v="8"/>
    <s v="Holmes Community College "/>
    <n v="175810"/>
    <x v="7"/>
    <s v="sem"/>
    <s v="sem"/>
    <m/>
    <m/>
    <n v="51538"/>
    <n v="54179"/>
    <n v="14496"/>
    <n v="16893"/>
    <n v="59537"/>
    <n v="70788"/>
    <n v="125571"/>
    <n v="4185.7"/>
    <n v="141860"/>
    <n v="4728.666666666667"/>
    <n v="870"/>
    <n v="1642"/>
    <n v="125571"/>
    <n v="141860"/>
    <m/>
    <m/>
    <m/>
    <m/>
    <m/>
    <m/>
    <m/>
    <m/>
    <n v="0"/>
    <n v="0"/>
    <n v="0"/>
    <n v="0"/>
    <m/>
    <m/>
    <n v="0"/>
    <n v="0"/>
  </r>
  <r>
    <x v="8"/>
    <s v="Itawamba Community College "/>
    <n v="175829"/>
    <x v="7"/>
    <s v="sem"/>
    <s v="sem"/>
    <m/>
    <m/>
    <n v="71257"/>
    <n v="77539"/>
    <n v="14468"/>
    <n v="18354"/>
    <n v="85619"/>
    <n v="99914"/>
    <n v="171344"/>
    <n v="5711.4666666666662"/>
    <n v="195807"/>
    <n v="6526.9"/>
    <n v="701"/>
    <n v="1011"/>
    <n v="171344"/>
    <n v="195807"/>
    <m/>
    <m/>
    <m/>
    <m/>
    <m/>
    <m/>
    <m/>
    <m/>
    <n v="0"/>
    <n v="0"/>
    <n v="0"/>
    <n v="0"/>
    <m/>
    <m/>
    <n v="0"/>
    <n v="0"/>
  </r>
  <r>
    <x v="8"/>
    <s v="Jones County Junior College "/>
    <n v="175883"/>
    <x v="7"/>
    <s v="sem"/>
    <s v="sem"/>
    <m/>
    <m/>
    <n v="51229"/>
    <n v="50663"/>
    <n v="13668"/>
    <n v="14865"/>
    <n v="61015"/>
    <n v="68705"/>
    <n v="125912"/>
    <n v="4197.0666666666666"/>
    <n v="134233"/>
    <n v="4474.4333333333334"/>
    <n v="1251"/>
    <n v="1665"/>
    <n v="125912"/>
    <n v="134233"/>
    <m/>
    <m/>
    <m/>
    <m/>
    <m/>
    <m/>
    <m/>
    <m/>
    <n v="0"/>
    <n v="0"/>
    <n v="0"/>
    <n v="0"/>
    <m/>
    <m/>
    <n v="0"/>
    <n v="0"/>
  </r>
  <r>
    <x v="8"/>
    <s v="Meridian Community College "/>
    <n v="175935"/>
    <x v="7"/>
    <s v="sem"/>
    <s v="sem"/>
    <m/>
    <m/>
    <n v="37498"/>
    <n v="38726"/>
    <n v="6899"/>
    <n v="6942"/>
    <n v="44458"/>
    <n v="47996"/>
    <n v="88855"/>
    <n v="2961.8333333333335"/>
    <n v="93664"/>
    <n v="3122.1333333333332"/>
    <n v="528"/>
    <n v="314"/>
    <n v="88855"/>
    <n v="93664"/>
    <m/>
    <m/>
    <m/>
    <m/>
    <m/>
    <m/>
    <m/>
    <m/>
    <n v="0"/>
    <n v="0"/>
    <n v="0"/>
    <n v="0"/>
    <m/>
    <m/>
    <n v="0"/>
    <n v="0"/>
  </r>
  <r>
    <x v="8"/>
    <s v="Mississippi Delta Community College "/>
    <n v="176008"/>
    <x v="7"/>
    <s v="sem"/>
    <s v="sem"/>
    <m/>
    <m/>
    <n v="32874"/>
    <n v="35938"/>
    <n v="4795"/>
    <n v="5889"/>
    <n v="37704"/>
    <n v="41448"/>
    <n v="75373"/>
    <n v="2512.4333333333334"/>
    <n v="83275"/>
    <n v="2775.8333333333335"/>
    <n v="1207"/>
    <n v="1272"/>
    <n v="75373"/>
    <n v="83275"/>
    <m/>
    <m/>
    <m/>
    <m/>
    <m/>
    <m/>
    <m/>
    <m/>
    <n v="0"/>
    <n v="0"/>
    <n v="0"/>
    <n v="0"/>
    <m/>
    <m/>
    <n v="0"/>
    <n v="0"/>
  </r>
  <r>
    <x v="8"/>
    <s v="Northeast Mississippi Community College "/>
    <n v="176169"/>
    <x v="7"/>
    <s v="sem"/>
    <s v="sem"/>
    <m/>
    <m/>
    <n v="37464"/>
    <n v="37442"/>
    <n v="4479"/>
    <n v="5263"/>
    <n v="42175"/>
    <n v="48043"/>
    <n v="84118"/>
    <n v="2803.9333333333334"/>
    <n v="90748"/>
    <n v="3024.9333333333334"/>
    <n v="389"/>
    <n v="543"/>
    <n v="84118"/>
    <n v="90748"/>
    <m/>
    <m/>
    <m/>
    <m/>
    <m/>
    <m/>
    <m/>
    <m/>
    <n v="0"/>
    <n v="0"/>
    <n v="0"/>
    <n v="0"/>
    <m/>
    <m/>
    <n v="0"/>
    <n v="0"/>
  </r>
  <r>
    <x v="8"/>
    <s v="Pearl River Community College "/>
    <n v="176239"/>
    <x v="7"/>
    <s v="sem"/>
    <s v="sem"/>
    <m/>
    <m/>
    <n v="42287"/>
    <n v="45982"/>
    <n v="9063"/>
    <n v="10133"/>
    <n v="51016"/>
    <n v="58438"/>
    <n v="102366"/>
    <n v="3412.2"/>
    <n v="114553"/>
    <n v="3818.4333333333334"/>
    <n v="895"/>
    <n v="1064"/>
    <n v="102366"/>
    <n v="114553"/>
    <m/>
    <m/>
    <m/>
    <m/>
    <m/>
    <m/>
    <m/>
    <m/>
    <n v="0"/>
    <n v="0"/>
    <n v="0"/>
    <n v="0"/>
    <m/>
    <m/>
    <n v="0"/>
    <n v="0"/>
  </r>
  <r>
    <x v="8"/>
    <s v="Coahoma Community College "/>
    <n v="175519"/>
    <x v="8"/>
    <s v="sem"/>
    <s v="sem"/>
    <m/>
    <m/>
    <n v="21034"/>
    <n v="24704"/>
    <n v="1708"/>
    <n v="2050"/>
    <n v="21634"/>
    <n v="28100"/>
    <n v="44376"/>
    <n v="1479.2"/>
    <n v="54854"/>
    <n v="1828.4666666666667"/>
    <n v="880"/>
    <n v="594"/>
    <n v="44376"/>
    <n v="54854"/>
    <m/>
    <m/>
    <m/>
    <m/>
    <m/>
    <m/>
    <m/>
    <m/>
    <n v="0"/>
    <n v="0"/>
    <n v="0"/>
    <n v="0"/>
    <m/>
    <m/>
    <n v="0"/>
    <n v="0"/>
  </r>
  <r>
    <x v="8"/>
    <s v="Southwest Mississippi Community College"/>
    <n v="176354"/>
    <x v="8"/>
    <s v="sem"/>
    <s v="sem"/>
    <m/>
    <m/>
    <n v="20878"/>
    <n v="22509"/>
    <n v="2632"/>
    <n v="3125"/>
    <n v="25412"/>
    <n v="27592"/>
    <n v="48922"/>
    <n v="1630.7333333333333"/>
    <n v="53226"/>
    <n v="1774.2"/>
    <n v="415"/>
    <n v="939"/>
    <n v="48922"/>
    <n v="53226"/>
    <m/>
    <m/>
    <m/>
    <m/>
    <m/>
    <m/>
    <m/>
    <m/>
    <n v="0"/>
    <n v="0"/>
    <n v="0"/>
    <n v="0"/>
    <m/>
    <m/>
    <n v="0"/>
    <n v="0"/>
  </r>
  <r>
    <x v="8"/>
    <s v="Mississippi University for Women"/>
    <n v="176035"/>
    <x v="4"/>
    <s v="sem"/>
    <s v="sem"/>
    <m/>
    <m/>
    <n v="24319"/>
    <n v="24446"/>
    <n v="5075"/>
    <n v="6097"/>
    <n v="26112"/>
    <n v="27261"/>
    <n v="55506"/>
    <n v="1850.2"/>
    <n v="57804"/>
    <n v="1926.8"/>
    <m/>
    <m/>
    <n v="0"/>
    <n v="0"/>
    <m/>
    <m/>
    <m/>
    <m/>
    <m/>
    <m/>
    <m/>
    <m/>
    <n v="0"/>
    <n v="0"/>
    <n v="0"/>
    <n v="0"/>
    <m/>
    <m/>
    <n v="0"/>
    <n v="0"/>
  </r>
  <r>
    <x v="9"/>
    <s v="North Carolina State University "/>
    <n v="199193"/>
    <x v="0"/>
    <s v="sem"/>
    <s v="sem"/>
    <m/>
    <m/>
    <n v="306377"/>
    <n v="316606"/>
    <n v="52013"/>
    <n v="56202"/>
    <n v="337998"/>
    <n v="344864"/>
    <n v="696388"/>
    <n v="23212.933333333334"/>
    <n v="717672"/>
    <n v="23922.400000000001"/>
    <m/>
    <m/>
    <n v="0"/>
    <n v="0"/>
    <m/>
    <m/>
    <m/>
    <m/>
    <m/>
    <m/>
    <m/>
    <m/>
    <n v="0"/>
    <n v="0"/>
    <n v="0"/>
    <n v="0"/>
    <m/>
    <m/>
    <n v="0"/>
    <n v="0"/>
  </r>
  <r>
    <x v="9"/>
    <s v="University of North Carolina at Chapel Hill "/>
    <n v="199120"/>
    <x v="0"/>
    <s v="sem"/>
    <s v="sem"/>
    <m/>
    <m/>
    <n v="220821"/>
    <n v="228000"/>
    <n v="33062"/>
    <n v="35745"/>
    <n v="241077"/>
    <n v="244296"/>
    <n v="494960"/>
    <n v="16498.666666666668"/>
    <n v="508041"/>
    <n v="16934.7"/>
    <n v="0"/>
    <n v="0"/>
    <n v="494960"/>
    <n v="508041"/>
    <m/>
    <m/>
    <m/>
    <m/>
    <m/>
    <m/>
    <m/>
    <m/>
    <n v="0"/>
    <n v="0"/>
    <n v="0"/>
    <n v="0"/>
    <m/>
    <m/>
    <n v="0"/>
    <n v="0"/>
  </r>
  <r>
    <x v="9"/>
    <s v="University of North Carolina at Charlotte"/>
    <n v="199139"/>
    <x v="1"/>
    <s v="sem"/>
    <s v="sem"/>
    <m/>
    <m/>
    <n v="216563"/>
    <n v="229730"/>
    <n v="38693"/>
    <n v="26954"/>
    <n v="242637"/>
    <n v="258471"/>
    <n v="497893"/>
    <n v="16596.433333333334"/>
    <n v="515155"/>
    <n v="17171.833333333332"/>
    <n v="0"/>
    <n v="0"/>
    <n v="497893"/>
    <n v="515155"/>
    <m/>
    <m/>
    <m/>
    <m/>
    <m/>
    <m/>
    <m/>
    <m/>
    <n v="0"/>
    <n v="0"/>
    <n v="0"/>
    <n v="0"/>
    <m/>
    <m/>
    <n v="0"/>
    <n v="0"/>
  </r>
  <r>
    <x v="9"/>
    <s v="University of North Carolina at Greensboro"/>
    <n v="199148"/>
    <x v="1"/>
    <s v="sem"/>
    <s v="sem"/>
    <m/>
    <m/>
    <n v="173633"/>
    <n v="186254"/>
    <n v="26613"/>
    <n v="27347"/>
    <n v="193384"/>
    <n v="209538"/>
    <n v="393630"/>
    <n v="13121"/>
    <n v="423139"/>
    <n v="14104.633333333333"/>
    <n v="12546"/>
    <n v="22115"/>
    <n v="393630"/>
    <n v="423139"/>
    <m/>
    <m/>
    <m/>
    <m/>
    <m/>
    <m/>
    <m/>
    <m/>
    <n v="0"/>
    <n v="0"/>
    <n v="0"/>
    <n v="0"/>
    <m/>
    <m/>
    <n v="0"/>
    <n v="0"/>
  </r>
  <r>
    <x v="9"/>
    <s v="Appalachian State University "/>
    <n v="197869"/>
    <x v="2"/>
    <s v="sem"/>
    <s v="sem"/>
    <m/>
    <m/>
    <n v="189910"/>
    <n v="197755"/>
    <n v="31256"/>
    <n v="30275"/>
    <n v="211078"/>
    <n v="214918"/>
    <n v="432244"/>
    <n v="14408.133333333333"/>
    <n v="442948"/>
    <n v="14764.933333333332"/>
    <n v="0"/>
    <n v="0"/>
    <n v="432244"/>
    <n v="442948"/>
    <m/>
    <m/>
    <m/>
    <m/>
    <m/>
    <m/>
    <m/>
    <m/>
    <n v="0"/>
    <n v="0"/>
    <n v="0"/>
    <n v="0"/>
    <m/>
    <m/>
    <n v="0"/>
    <n v="0"/>
  </r>
  <r>
    <x v="9"/>
    <s v="East Carolina University "/>
    <n v="198464"/>
    <x v="2"/>
    <s v="sem"/>
    <s v="sem"/>
    <m/>
    <m/>
    <n v="242035"/>
    <n v="251474"/>
    <n v="49175"/>
    <n v="54505"/>
    <n v="277518"/>
    <n v="277555"/>
    <n v="568728"/>
    <n v="18957.599999999999"/>
    <n v="583534"/>
    <n v="19451.133333333335"/>
    <n v="0"/>
    <n v="198"/>
    <n v="568728"/>
    <n v="583534"/>
    <m/>
    <m/>
    <m/>
    <m/>
    <m/>
    <m/>
    <m/>
    <m/>
    <n v="0"/>
    <n v="0"/>
    <n v="0"/>
    <n v="0"/>
    <m/>
    <m/>
    <n v="0"/>
    <n v="0"/>
  </r>
  <r>
    <x v="9"/>
    <s v="North Carolina A&amp;T State University"/>
    <n v="199102"/>
    <x v="2"/>
    <s v="sem"/>
    <s v="sem"/>
    <m/>
    <m/>
    <n v="119039"/>
    <n v="114101"/>
    <n v="21517"/>
    <n v="22305"/>
    <n v="122706"/>
    <n v="124393"/>
    <n v="263262"/>
    <n v="8775.4"/>
    <n v="260799"/>
    <n v="8693.2999999999993"/>
    <n v="874"/>
    <n v="1555"/>
    <n v="263262"/>
    <n v="260799"/>
    <m/>
    <m/>
    <m/>
    <m/>
    <m/>
    <m/>
    <m/>
    <m/>
    <n v="0"/>
    <n v="0"/>
    <n v="0"/>
    <n v="0"/>
    <m/>
    <m/>
    <n v="0"/>
    <n v="0"/>
  </r>
  <r>
    <x v="9"/>
    <s v="North Carolina Central University "/>
    <n v="199157"/>
    <x v="2"/>
    <s v="sem"/>
    <s v="sem"/>
    <m/>
    <m/>
    <n v="77938"/>
    <n v="75350"/>
    <n v="18523"/>
    <n v="20964"/>
    <n v="80189"/>
    <n v="86883"/>
    <n v="176650"/>
    <n v="5888.333333333333"/>
    <n v="183197"/>
    <n v="6106.5666666666666"/>
    <n v="3547"/>
    <n v="4100"/>
    <n v="176650"/>
    <n v="183197"/>
    <m/>
    <m/>
    <m/>
    <m/>
    <m/>
    <m/>
    <m/>
    <m/>
    <n v="0"/>
    <n v="0"/>
    <n v="0"/>
    <n v="0"/>
    <m/>
    <m/>
    <n v="0"/>
    <n v="0"/>
  </r>
  <r>
    <x v="9"/>
    <s v="University of North Carolina at Wilmington"/>
    <n v="199218"/>
    <x v="2"/>
    <s v="sem"/>
    <s v="sem"/>
    <m/>
    <m/>
    <n v="141594"/>
    <n v="145664"/>
    <n v="27182"/>
    <n v="27224"/>
    <n v="157835"/>
    <n v="161748"/>
    <n v="326611"/>
    <n v="10887.033333333333"/>
    <n v="334636"/>
    <n v="11154.533333333333"/>
    <n v="646"/>
    <n v="2196"/>
    <n v="326611"/>
    <n v="334636"/>
    <m/>
    <m/>
    <m/>
    <m/>
    <m/>
    <m/>
    <m/>
    <m/>
    <n v="0"/>
    <n v="0"/>
    <n v="0"/>
    <n v="0"/>
    <m/>
    <m/>
    <n v="0"/>
    <n v="0"/>
  </r>
  <r>
    <x v="9"/>
    <s v="Western Carolina University "/>
    <n v="200004"/>
    <x v="2"/>
    <s v="sem"/>
    <s v="sem"/>
    <m/>
    <m/>
    <n v="89807"/>
    <n v="88670"/>
    <n v="15087"/>
    <n v="16576"/>
    <n v="95088"/>
    <n v="100125"/>
    <n v="199982"/>
    <n v="6666.0666666666666"/>
    <n v="205371"/>
    <n v="6845.7"/>
    <n v="0"/>
    <n v="0"/>
    <n v="199982"/>
    <n v="205371"/>
    <m/>
    <m/>
    <m/>
    <m/>
    <m/>
    <m/>
    <m/>
    <m/>
    <n v="0"/>
    <n v="0"/>
    <n v="0"/>
    <n v="0"/>
    <m/>
    <m/>
    <n v="0"/>
    <n v="0"/>
  </r>
  <r>
    <x v="9"/>
    <s v="Fayetteville State University "/>
    <n v="198543"/>
    <x v="3"/>
    <s v="sem"/>
    <s v="sem"/>
    <m/>
    <m/>
    <n v="76566"/>
    <n v="64339"/>
    <n v="20365"/>
    <n v="20023"/>
    <n v="70479"/>
    <n v="70752"/>
    <n v="167410"/>
    <n v="5580.333333333333"/>
    <n v="155114"/>
    <n v="5170.4666666666662"/>
    <n v="1605"/>
    <n v="2360"/>
    <n v="167410"/>
    <n v="155114"/>
    <m/>
    <m/>
    <m/>
    <m/>
    <m/>
    <m/>
    <m/>
    <m/>
    <n v="0"/>
    <n v="0"/>
    <n v="0"/>
    <n v="0"/>
    <m/>
    <m/>
    <n v="0"/>
    <n v="0"/>
  </r>
  <r>
    <x v="9"/>
    <s v="University of North Carolina at Pembroke"/>
    <n v="199281"/>
    <x v="4"/>
    <s v="sem"/>
    <s v="sem"/>
    <m/>
    <m/>
    <n v="61635"/>
    <n v="65620"/>
    <n v="15046"/>
    <n v="16532"/>
    <n v="70251"/>
    <n v="75403"/>
    <n v="146932"/>
    <n v="4897.7333333333336"/>
    <n v="157555"/>
    <n v="5251.833333333333"/>
    <n v="0"/>
    <n v="0"/>
    <n v="146932"/>
    <n v="157555"/>
    <m/>
    <m/>
    <m/>
    <m/>
    <m/>
    <m/>
    <m/>
    <m/>
    <n v="0"/>
    <n v="0"/>
    <n v="0"/>
    <n v="0"/>
    <m/>
    <m/>
    <n v="0"/>
    <n v="0"/>
  </r>
  <r>
    <x v="9"/>
    <s v="Winston-Salem State University "/>
    <n v="199999"/>
    <x v="4"/>
    <s v="sem"/>
    <s v="sem"/>
    <m/>
    <m/>
    <n v="73028"/>
    <n v="81060"/>
    <n v="10745"/>
    <n v="12852"/>
    <n v="84020"/>
    <n v="83257"/>
    <n v="167793"/>
    <n v="5593.1"/>
    <n v="177169"/>
    <n v="5905.6333333333332"/>
    <n v="0"/>
    <n v="0"/>
    <n v="167793"/>
    <n v="177169"/>
    <m/>
    <m/>
    <m/>
    <m/>
    <m/>
    <m/>
    <m/>
    <m/>
    <n v="0"/>
    <n v="0"/>
    <n v="0"/>
    <n v="0"/>
    <m/>
    <m/>
    <n v="0"/>
    <n v="0"/>
  </r>
  <r>
    <x v="9"/>
    <s v="Elizabeth City State University "/>
    <n v="198507"/>
    <x v="5"/>
    <s v="sem"/>
    <s v="sem"/>
    <m/>
    <m/>
    <n v="38820"/>
    <n v="41192"/>
    <n v="6511"/>
    <n v="8284"/>
    <n v="43790"/>
    <n v="46511"/>
    <n v="89121"/>
    <n v="2970.7"/>
    <n v="95987"/>
    <n v="3199.5666666666666"/>
    <n v="0"/>
    <n v="0"/>
    <n v="89121"/>
    <n v="95987"/>
    <m/>
    <m/>
    <m/>
    <m/>
    <m/>
    <m/>
    <m/>
    <m/>
    <n v="0"/>
    <n v="0"/>
    <n v="0"/>
    <n v="0"/>
    <m/>
    <m/>
    <n v="0"/>
    <n v="0"/>
  </r>
  <r>
    <x v="9"/>
    <s v="University of North Carolina at Asheville"/>
    <n v="199111"/>
    <x v="5"/>
    <s v="sem"/>
    <s v="sem"/>
    <m/>
    <m/>
    <n v="42829"/>
    <n v="43880"/>
    <n v="3902"/>
    <n v="4513"/>
    <n v="46290"/>
    <n v="49557"/>
    <n v="93021"/>
    <n v="3100.7"/>
    <n v="97950"/>
    <n v="3265"/>
    <n v="0"/>
    <n v="90"/>
    <n v="93021"/>
    <n v="97950"/>
    <m/>
    <m/>
    <m/>
    <m/>
    <m/>
    <m/>
    <m/>
    <m/>
    <n v="0"/>
    <n v="0"/>
    <n v="0"/>
    <n v="0"/>
    <m/>
    <m/>
    <n v="0"/>
    <n v="0"/>
  </r>
  <r>
    <x v="9"/>
    <s v="Asheville-Buncombe Technical Community College"/>
    <n v="197887"/>
    <x v="6"/>
    <s v="sem"/>
    <s v="sem"/>
    <m/>
    <m/>
    <n v="86010"/>
    <n v="89550"/>
    <n v="28560"/>
    <n v="30960"/>
    <n v="93210"/>
    <n v="102030"/>
    <n v="207780"/>
    <n v="6926"/>
    <n v="222540"/>
    <n v="7418"/>
    <n v="17888.099999999999"/>
    <n v="17608.5"/>
    <n v="207780"/>
    <n v="222540"/>
    <m/>
    <m/>
    <m/>
    <m/>
    <m/>
    <m/>
    <m/>
    <m/>
    <n v="0"/>
    <n v="0"/>
    <n v="0"/>
    <n v="0"/>
    <m/>
    <m/>
    <n v="0"/>
    <n v="0"/>
  </r>
  <r>
    <x v="9"/>
    <s v="Cape Fear Community College"/>
    <n v="198154"/>
    <x v="6"/>
    <s v="sem"/>
    <s v="sem"/>
    <m/>
    <m/>
    <n v="103050"/>
    <n v="114720"/>
    <n v="27450"/>
    <n v="32520"/>
    <n v="114660"/>
    <n v="131040"/>
    <n v="245160"/>
    <n v="8172"/>
    <n v="278280"/>
    <n v="9276"/>
    <n v="6852.3"/>
    <n v="7172.7"/>
    <n v="245160"/>
    <n v="278280"/>
    <m/>
    <m/>
    <m/>
    <m/>
    <m/>
    <m/>
    <m/>
    <m/>
    <n v="0"/>
    <n v="0"/>
    <n v="0"/>
    <n v="0"/>
    <m/>
    <m/>
    <n v="0"/>
    <n v="0"/>
  </r>
  <r>
    <x v="9"/>
    <s v="Catawba Valley Community College"/>
    <n v="198233"/>
    <x v="6"/>
    <s v="sem"/>
    <s v="sem"/>
    <m/>
    <m/>
    <n v="65550"/>
    <n v="68340"/>
    <n v="25620"/>
    <n v="27150"/>
    <n v="68910"/>
    <n v="79140"/>
    <n v="160080"/>
    <n v="5336"/>
    <n v="174630"/>
    <n v="5821"/>
    <n v="8585.4"/>
    <n v="9973.7999999999993"/>
    <n v="160080"/>
    <n v="174630"/>
    <m/>
    <m/>
    <m/>
    <m/>
    <m/>
    <m/>
    <m/>
    <m/>
    <n v="0"/>
    <n v="0"/>
    <n v="0"/>
    <n v="0"/>
    <m/>
    <m/>
    <n v="0"/>
    <n v="0"/>
  </r>
  <r>
    <x v="9"/>
    <s v="Central Carolina Commuity College"/>
    <n v="198251"/>
    <x v="6"/>
    <s v="sem"/>
    <s v="sem"/>
    <m/>
    <m/>
    <n v="68550"/>
    <n v="74250"/>
    <n v="23610"/>
    <n v="25110"/>
    <n v="77370"/>
    <n v="88380"/>
    <n v="169530"/>
    <n v="5651"/>
    <n v="187740"/>
    <n v="6258"/>
    <n v="9146.4"/>
    <n v="9861.6"/>
    <n v="169530"/>
    <n v="187740"/>
    <m/>
    <m/>
    <m/>
    <m/>
    <m/>
    <m/>
    <m/>
    <m/>
    <n v="0"/>
    <n v="0"/>
    <n v="0"/>
    <n v="0"/>
    <m/>
    <m/>
    <n v="0"/>
    <n v="0"/>
  </r>
  <r>
    <x v="9"/>
    <s v="Central Piedmont Community College "/>
    <n v="198260"/>
    <x v="6"/>
    <s v="sem"/>
    <s v="sem"/>
    <m/>
    <m/>
    <n v="206700"/>
    <n v="225150"/>
    <n v="57900"/>
    <n v="70050"/>
    <n v="223560"/>
    <n v="241590"/>
    <n v="488160"/>
    <n v="16272"/>
    <n v="536790"/>
    <n v="17893"/>
    <n v="10854.6"/>
    <n v="9685.5"/>
    <n v="488160"/>
    <n v="536790"/>
    <m/>
    <m/>
    <m/>
    <m/>
    <m/>
    <m/>
    <m/>
    <m/>
    <n v="0"/>
    <n v="0"/>
    <n v="0"/>
    <n v="0"/>
    <m/>
    <m/>
    <n v="0"/>
    <n v="0"/>
  </r>
  <r>
    <x v="9"/>
    <s v="Durham Technical Community College"/>
    <n v="198455"/>
    <x v="6"/>
    <s v="sem"/>
    <s v="sem"/>
    <m/>
    <m/>
    <n v="61440"/>
    <n v="69780"/>
    <n v="25140"/>
    <n v="22080"/>
    <n v="67980"/>
    <n v="73320"/>
    <n v="154560"/>
    <n v="5152"/>
    <n v="165180"/>
    <n v="5506"/>
    <n v="3567.2999999999997"/>
    <n v="3501.2999999999997"/>
    <n v="154560"/>
    <n v="165180"/>
    <m/>
    <m/>
    <m/>
    <m/>
    <m/>
    <m/>
    <m/>
    <m/>
    <n v="0"/>
    <n v="0"/>
    <n v="0"/>
    <n v="0"/>
    <m/>
    <m/>
    <n v="0"/>
    <n v="0"/>
  </r>
  <r>
    <x v="9"/>
    <s v="Fayetteville Technical Community College"/>
    <n v="198534"/>
    <x v="6"/>
    <s v="sem"/>
    <s v="sem"/>
    <m/>
    <m/>
    <n v="142590"/>
    <n v="161700"/>
    <n v="51810"/>
    <n v="51630"/>
    <n v="156180"/>
    <n v="166290"/>
    <n v="350580"/>
    <n v="11686"/>
    <n v="379620"/>
    <n v="12654"/>
    <n v="8658.9"/>
    <n v="8419.8000000000011"/>
    <n v="350580"/>
    <n v="379620"/>
    <m/>
    <m/>
    <m/>
    <m/>
    <m/>
    <m/>
    <m/>
    <m/>
    <n v="0"/>
    <n v="0"/>
    <n v="0"/>
    <n v="0"/>
    <m/>
    <m/>
    <n v="0"/>
    <n v="0"/>
  </r>
  <r>
    <x v="9"/>
    <s v="Forsyth Technical Community College"/>
    <n v="198552"/>
    <x v="6"/>
    <s v="sem"/>
    <s v="sem"/>
    <m/>
    <m/>
    <n v="95460"/>
    <n v="109710"/>
    <n v="35550"/>
    <n v="40890"/>
    <n v="108150"/>
    <n v="124200"/>
    <n v="239160"/>
    <n v="7972"/>
    <n v="274800"/>
    <n v="9160"/>
    <n v="4021.5000000000005"/>
    <n v="5413.5"/>
    <n v="239160"/>
    <n v="274800"/>
    <m/>
    <m/>
    <m/>
    <m/>
    <m/>
    <m/>
    <m/>
    <m/>
    <n v="0"/>
    <n v="0"/>
    <n v="0"/>
    <n v="0"/>
    <m/>
    <m/>
    <n v="0"/>
    <n v="0"/>
  </r>
  <r>
    <x v="9"/>
    <s v="Guilford Technical Community College"/>
    <n v="198622"/>
    <x v="6"/>
    <s v="sem"/>
    <s v="sem"/>
    <m/>
    <m/>
    <n v="136500"/>
    <n v="159450"/>
    <n v="39330"/>
    <n v="47670"/>
    <n v="161400"/>
    <n v="191430"/>
    <n v="337230"/>
    <n v="11241"/>
    <n v="398550"/>
    <n v="13285"/>
    <n v="2956.2000000000003"/>
    <n v="3940.8"/>
    <n v="337230"/>
    <n v="398550"/>
    <m/>
    <m/>
    <m/>
    <m/>
    <m/>
    <m/>
    <m/>
    <m/>
    <n v="0"/>
    <n v="0"/>
    <n v="0"/>
    <n v="0"/>
    <m/>
    <m/>
    <n v="0"/>
    <n v="0"/>
  </r>
  <r>
    <x v="9"/>
    <s v="Pitt Community College"/>
    <n v="199333"/>
    <x v="6"/>
    <s v="sem"/>
    <s v="sem"/>
    <m/>
    <m/>
    <n v="86280"/>
    <n v="94350"/>
    <n v="27330"/>
    <n v="33000"/>
    <n v="92940"/>
    <n v="104100"/>
    <n v="206550"/>
    <n v="6885"/>
    <n v="231450"/>
    <n v="7715"/>
    <n v="5159.3999999999996"/>
    <n v="6342.9000000000005"/>
    <n v="206550"/>
    <n v="231450"/>
    <m/>
    <m/>
    <m/>
    <m/>
    <m/>
    <m/>
    <m/>
    <m/>
    <n v="0"/>
    <n v="0"/>
    <n v="0"/>
    <n v="0"/>
    <m/>
    <m/>
    <n v="0"/>
    <n v="0"/>
  </r>
  <r>
    <x v="9"/>
    <s v="Rowan-Cabarrus Community College"/>
    <n v="199494"/>
    <x v="6"/>
    <s v="sem"/>
    <s v="sem"/>
    <m/>
    <m/>
    <n v="70020"/>
    <n v="84330"/>
    <n v="22560"/>
    <n v="33180"/>
    <n v="81900"/>
    <n v="102630"/>
    <n v="174480"/>
    <n v="5816"/>
    <n v="220140"/>
    <n v="7338"/>
    <n v="5355.2999999999993"/>
    <n v="5910"/>
    <n v="174480"/>
    <n v="220140"/>
    <m/>
    <m/>
    <m/>
    <m/>
    <m/>
    <m/>
    <m/>
    <m/>
    <n v="0"/>
    <n v="0"/>
    <n v="0"/>
    <n v="0"/>
    <m/>
    <m/>
    <n v="0"/>
    <n v="0"/>
  </r>
  <r>
    <x v="9"/>
    <s v="Wake Technical Community College"/>
    <n v="199856"/>
    <x v="6"/>
    <s v="sem"/>
    <s v="sem"/>
    <m/>
    <m/>
    <n v="172110"/>
    <n v="191130"/>
    <n v="60240"/>
    <n v="61230"/>
    <n v="197040"/>
    <n v="208620"/>
    <n v="429390"/>
    <n v="14313"/>
    <n v="460980"/>
    <n v="15366"/>
    <n v="5808.9"/>
    <n v="5835.9"/>
    <n v="429390"/>
    <n v="460980"/>
    <m/>
    <m/>
    <m/>
    <m/>
    <m/>
    <m/>
    <m/>
    <m/>
    <n v="0"/>
    <n v="0"/>
    <n v="0"/>
    <n v="0"/>
    <m/>
    <m/>
    <n v="0"/>
    <n v="0"/>
  </r>
  <r>
    <x v="9"/>
    <s v="Alamance Community College"/>
    <n v="199786"/>
    <x v="7"/>
    <s v="sem"/>
    <s v="sem"/>
    <m/>
    <m/>
    <n v="55770"/>
    <n v="63420"/>
    <n v="16920"/>
    <n v="20760"/>
    <n v="61560"/>
    <n v="72870"/>
    <n v="134250"/>
    <n v="4475"/>
    <n v="157050"/>
    <n v="5235"/>
    <n v="7426.5"/>
    <n v="7848.9"/>
    <n v="134250"/>
    <n v="157050"/>
    <m/>
    <m/>
    <m/>
    <m/>
    <m/>
    <m/>
    <m/>
    <m/>
    <n v="0"/>
    <n v="0"/>
    <n v="0"/>
    <n v="0"/>
    <m/>
    <m/>
    <n v="0"/>
    <n v="0"/>
  </r>
  <r>
    <x v="9"/>
    <s v="Blue Ridge Community College"/>
    <n v="198039"/>
    <x v="7"/>
    <s v="sem"/>
    <s v="sem"/>
    <m/>
    <m/>
    <n v="28110"/>
    <n v="31650"/>
    <n v="9180"/>
    <n v="11280"/>
    <n v="31890"/>
    <n v="39210"/>
    <n v="69180"/>
    <n v="2306"/>
    <n v="82140"/>
    <n v="2738"/>
    <n v="4549.8"/>
    <n v="4354.8"/>
    <n v="69180"/>
    <n v="82140"/>
    <m/>
    <m/>
    <m/>
    <m/>
    <m/>
    <m/>
    <m/>
    <m/>
    <n v="0"/>
    <n v="0"/>
    <n v="0"/>
    <n v="0"/>
    <m/>
    <m/>
    <n v="0"/>
    <n v="0"/>
  </r>
  <r>
    <x v="9"/>
    <s v="Caldwell Community College &amp; Technical Institute"/>
    <n v="198118"/>
    <x v="7"/>
    <s v="sem"/>
    <s v="sem"/>
    <m/>
    <m/>
    <n v="55950"/>
    <n v="60180"/>
    <n v="16770"/>
    <n v="20730"/>
    <n v="60630"/>
    <n v="72360"/>
    <n v="133350"/>
    <n v="4445"/>
    <n v="153270"/>
    <n v="5109"/>
    <n v="8369.1"/>
    <n v="9591.9000000000015"/>
    <n v="133350"/>
    <n v="153270"/>
    <m/>
    <m/>
    <m/>
    <m/>
    <m/>
    <m/>
    <m/>
    <m/>
    <n v="0"/>
    <n v="0"/>
    <n v="0"/>
    <n v="0"/>
    <m/>
    <m/>
    <n v="0"/>
    <n v="0"/>
  </r>
  <r>
    <x v="9"/>
    <s v="Cleveland Community College"/>
    <n v="198321"/>
    <x v="7"/>
    <s v="sem"/>
    <s v="sem"/>
    <m/>
    <m/>
    <n v="42000"/>
    <n v="49350"/>
    <n v="9210"/>
    <n v="12660"/>
    <n v="47580"/>
    <n v="57840"/>
    <n v="98790"/>
    <n v="3293"/>
    <n v="119850"/>
    <n v="3995"/>
    <n v="12338.099999999999"/>
    <n v="15212.1"/>
    <n v="98790"/>
    <n v="119850"/>
    <m/>
    <m/>
    <m/>
    <m/>
    <m/>
    <m/>
    <m/>
    <m/>
    <n v="0"/>
    <n v="0"/>
    <n v="0"/>
    <n v="0"/>
    <m/>
    <m/>
    <n v="0"/>
    <n v="0"/>
  </r>
  <r>
    <x v="9"/>
    <s v="Coastal Carolina Community College "/>
    <n v="198330"/>
    <x v="7"/>
    <s v="sem"/>
    <s v="sem"/>
    <m/>
    <m/>
    <n v="60150"/>
    <n v="63180"/>
    <n v="27090"/>
    <n v="28350"/>
    <n v="65280"/>
    <n v="70500"/>
    <n v="152520"/>
    <n v="5084"/>
    <n v="162030"/>
    <n v="5401"/>
    <n v="1892.3999999999999"/>
    <n v="1627.5"/>
    <n v="152520"/>
    <n v="162030"/>
    <m/>
    <m/>
    <m/>
    <m/>
    <m/>
    <m/>
    <m/>
    <m/>
    <n v="0"/>
    <n v="0"/>
    <n v="0"/>
    <n v="0"/>
    <m/>
    <m/>
    <n v="0"/>
    <n v="0"/>
  </r>
  <r>
    <x v="9"/>
    <s v="College of the Albemarle"/>
    <n v="197814"/>
    <x v="7"/>
    <s v="sem"/>
    <s v="sem"/>
    <m/>
    <m/>
    <n v="33570"/>
    <n v="34410"/>
    <n v="6720"/>
    <n v="6480"/>
    <n v="35400"/>
    <n v="39540"/>
    <n v="75690"/>
    <n v="2523"/>
    <n v="80430"/>
    <n v="2681"/>
    <n v="4223.3999999999996"/>
    <n v="4193.7"/>
    <n v="75690"/>
    <n v="80430"/>
    <m/>
    <m/>
    <m/>
    <m/>
    <m/>
    <m/>
    <m/>
    <m/>
    <n v="0"/>
    <n v="0"/>
    <n v="0"/>
    <n v="0"/>
    <m/>
    <m/>
    <n v="0"/>
    <n v="0"/>
  </r>
  <r>
    <x v="9"/>
    <s v="Craven Community College "/>
    <n v="198367"/>
    <x v="7"/>
    <s v="sem"/>
    <s v="sem"/>
    <m/>
    <m/>
    <n v="38190"/>
    <n v="42450"/>
    <n v="11640"/>
    <n v="15180"/>
    <n v="42090"/>
    <n v="46350"/>
    <n v="91920"/>
    <n v="3064"/>
    <n v="103980"/>
    <n v="3466"/>
    <n v="3432.9"/>
    <n v="3492.2999999999997"/>
    <n v="91920"/>
    <n v="103980"/>
    <m/>
    <m/>
    <m/>
    <m/>
    <m/>
    <m/>
    <m/>
    <m/>
    <n v="0"/>
    <n v="0"/>
    <n v="0"/>
    <n v="0"/>
    <m/>
    <m/>
    <n v="0"/>
    <n v="0"/>
  </r>
  <r>
    <x v="9"/>
    <s v="Davidson County Community College "/>
    <n v="198376"/>
    <x v="7"/>
    <s v="sem"/>
    <s v="sem"/>
    <m/>
    <m/>
    <n v="51870"/>
    <n v="58680"/>
    <n v="17490"/>
    <n v="20670"/>
    <n v="55740"/>
    <n v="63780"/>
    <n v="125100"/>
    <n v="4170"/>
    <n v="143130"/>
    <n v="4771"/>
    <n v="7013.4"/>
    <n v="7548.9"/>
    <n v="125100"/>
    <n v="143130"/>
    <m/>
    <m/>
    <m/>
    <m/>
    <m/>
    <m/>
    <m/>
    <m/>
    <n v="0"/>
    <n v="0"/>
    <n v="0"/>
    <n v="0"/>
    <m/>
    <m/>
    <n v="0"/>
    <n v="0"/>
  </r>
  <r>
    <x v="9"/>
    <s v="Edgecombe Community College"/>
    <n v="198491"/>
    <x v="7"/>
    <s v="sem"/>
    <s v="sem"/>
    <m/>
    <m/>
    <n v="31140"/>
    <n v="34800"/>
    <n v="10470"/>
    <n v="12990"/>
    <n v="34230"/>
    <n v="44880"/>
    <n v="75840"/>
    <n v="2528"/>
    <n v="92670"/>
    <n v="3089"/>
    <n v="4432.5"/>
    <n v="4034.1"/>
    <n v="75840"/>
    <n v="92670"/>
    <m/>
    <m/>
    <m/>
    <m/>
    <m/>
    <m/>
    <m/>
    <m/>
    <n v="0"/>
    <n v="0"/>
    <n v="0"/>
    <n v="0"/>
    <m/>
    <m/>
    <n v="0"/>
    <n v="0"/>
  </r>
  <r>
    <x v="9"/>
    <s v="Gaston College "/>
    <n v="198570"/>
    <x v="7"/>
    <s v="sem"/>
    <s v="sem"/>
    <m/>
    <m/>
    <n v="66090"/>
    <n v="81510"/>
    <n v="17160"/>
    <n v="24180"/>
    <n v="74100"/>
    <n v="92490"/>
    <n v="157350"/>
    <n v="5245"/>
    <n v="198180"/>
    <n v="6606"/>
    <n v="8208.6"/>
    <n v="8275.1999999999989"/>
    <n v="157350"/>
    <n v="198180"/>
    <m/>
    <m/>
    <m/>
    <m/>
    <m/>
    <m/>
    <m/>
    <m/>
    <n v="0"/>
    <n v="0"/>
    <n v="0"/>
    <n v="0"/>
    <m/>
    <m/>
    <n v="0"/>
    <n v="0"/>
  </r>
  <r>
    <x v="9"/>
    <s v="Haywood Community College"/>
    <n v="198668"/>
    <x v="7"/>
    <s v="sem"/>
    <s v="sem"/>
    <m/>
    <m/>
    <n v="26010"/>
    <n v="28890"/>
    <n v="6840"/>
    <n v="7800"/>
    <n v="28170"/>
    <n v="31890"/>
    <n v="61020"/>
    <n v="2034"/>
    <n v="68580"/>
    <n v="2286"/>
    <n v="8779.1999999999989"/>
    <n v="8092.5"/>
    <n v="61020"/>
    <n v="68580"/>
    <m/>
    <m/>
    <m/>
    <m/>
    <m/>
    <m/>
    <m/>
    <m/>
    <n v="0"/>
    <n v="0"/>
    <n v="0"/>
    <n v="0"/>
    <m/>
    <m/>
    <n v="0"/>
    <n v="0"/>
  </r>
  <r>
    <x v="9"/>
    <s v="Isothermal Community College "/>
    <n v="198710"/>
    <x v="7"/>
    <s v="sem"/>
    <s v="sem"/>
    <m/>
    <m/>
    <n v="28710"/>
    <n v="37410"/>
    <n v="10710"/>
    <n v="13770"/>
    <n v="32820"/>
    <n v="38790"/>
    <n v="72240"/>
    <n v="2408"/>
    <n v="89970"/>
    <n v="2999"/>
    <n v="7627.7999999999993"/>
    <n v="8310.2999999999993"/>
    <n v="72240"/>
    <n v="89970"/>
    <m/>
    <m/>
    <m/>
    <m/>
    <m/>
    <m/>
    <m/>
    <m/>
    <n v="0"/>
    <n v="0"/>
    <n v="0"/>
    <n v="0"/>
    <m/>
    <m/>
    <n v="0"/>
    <n v="0"/>
  </r>
  <r>
    <x v="9"/>
    <s v="Johnston Community College"/>
    <n v="198774"/>
    <x v="7"/>
    <s v="sem"/>
    <s v="sem"/>
    <m/>
    <m/>
    <n v="59580"/>
    <n v="63450"/>
    <n v="13350"/>
    <n v="14310"/>
    <n v="62700"/>
    <n v="68880"/>
    <n v="135630"/>
    <n v="4521"/>
    <n v="146640"/>
    <n v="4888"/>
    <n v="15068.4"/>
    <n v="11942.699999999999"/>
    <n v="135630"/>
    <n v="146640"/>
    <m/>
    <m/>
    <m/>
    <m/>
    <m/>
    <m/>
    <m/>
    <m/>
    <n v="0"/>
    <n v="0"/>
    <n v="0"/>
    <n v="0"/>
    <m/>
    <m/>
    <n v="0"/>
    <n v="0"/>
  </r>
  <r>
    <x v="9"/>
    <s v="Lenoir Community College "/>
    <n v="198817"/>
    <x v="7"/>
    <s v="sem"/>
    <s v="sem"/>
    <m/>
    <m/>
    <n v="47910"/>
    <n v="53430"/>
    <n v="17970"/>
    <n v="20070"/>
    <n v="50040"/>
    <n v="59160"/>
    <n v="115920"/>
    <n v="3864"/>
    <n v="132660"/>
    <n v="4422"/>
    <n v="5747.7"/>
    <n v="8065.1999999999989"/>
    <n v="115920"/>
    <n v="132660"/>
    <m/>
    <m/>
    <m/>
    <m/>
    <m/>
    <m/>
    <m/>
    <m/>
    <n v="0"/>
    <n v="0"/>
    <n v="0"/>
    <n v="0"/>
    <m/>
    <m/>
    <n v="0"/>
    <n v="0"/>
  </r>
  <r>
    <x v="9"/>
    <s v="Mayland Community College"/>
    <n v="198914"/>
    <x v="7"/>
    <s v="sem"/>
    <s v="sem"/>
    <m/>
    <m/>
    <n v="26160"/>
    <n v="26610"/>
    <n v="8550"/>
    <n v="10650"/>
    <n v="26550"/>
    <n v="28230"/>
    <n v="61260"/>
    <n v="2042"/>
    <n v="65490"/>
    <n v="2183"/>
    <n v="7874.1"/>
    <n v="8694"/>
    <n v="61260"/>
    <n v="65490"/>
    <m/>
    <m/>
    <m/>
    <m/>
    <m/>
    <m/>
    <m/>
    <m/>
    <n v="0"/>
    <n v="0"/>
    <n v="0"/>
    <n v="0"/>
    <m/>
    <m/>
    <n v="0"/>
    <n v="0"/>
  </r>
  <r>
    <x v="9"/>
    <s v="Mitchell Community College "/>
    <n v="198987"/>
    <x v="7"/>
    <s v="sem"/>
    <s v="sem"/>
    <m/>
    <m/>
    <n v="34350"/>
    <n v="39090"/>
    <n v="9720"/>
    <n v="11310"/>
    <n v="38970"/>
    <n v="48000"/>
    <n v="83040"/>
    <n v="2768"/>
    <n v="98400"/>
    <n v="3280"/>
    <n v="3297.2999999999997"/>
    <n v="5328.9"/>
    <n v="83040"/>
    <n v="98400"/>
    <m/>
    <m/>
    <m/>
    <m/>
    <m/>
    <m/>
    <m/>
    <m/>
    <n v="0"/>
    <n v="0"/>
    <n v="0"/>
    <n v="0"/>
    <m/>
    <m/>
    <n v="0"/>
    <n v="0"/>
  </r>
  <r>
    <x v="9"/>
    <s v="Nash Community College"/>
    <n v="199087"/>
    <x v="7"/>
    <s v="sem"/>
    <s v="sem"/>
    <m/>
    <m/>
    <n v="35790"/>
    <n v="36030"/>
    <n v="8700"/>
    <n v="10080"/>
    <n v="38610"/>
    <n v="43380"/>
    <n v="83100"/>
    <n v="2770"/>
    <n v="89490"/>
    <n v="2983"/>
    <n v="6628.2"/>
    <n v="6581.7"/>
    <n v="83100"/>
    <n v="89490"/>
    <m/>
    <m/>
    <m/>
    <m/>
    <m/>
    <m/>
    <m/>
    <m/>
    <n v="0"/>
    <n v="0"/>
    <n v="0"/>
    <n v="0"/>
    <m/>
    <m/>
    <n v="0"/>
    <n v="0"/>
  </r>
  <r>
    <x v="9"/>
    <s v="Piedmont Community College"/>
    <n v="199324"/>
    <x v="7"/>
    <s v="sem"/>
    <s v="sem"/>
    <m/>
    <m/>
    <n v="37890"/>
    <n v="40620"/>
    <n v="8850"/>
    <n v="9270"/>
    <n v="39900"/>
    <n v="44130"/>
    <n v="86640"/>
    <n v="2888"/>
    <n v="94020"/>
    <n v="3134"/>
    <n v="14601.6"/>
    <n v="13070.1"/>
    <n v="86640"/>
    <n v="94020"/>
    <m/>
    <m/>
    <m/>
    <m/>
    <m/>
    <m/>
    <m/>
    <m/>
    <n v="0"/>
    <n v="0"/>
    <n v="0"/>
    <n v="0"/>
    <m/>
    <m/>
    <n v="0"/>
    <n v="0"/>
  </r>
  <r>
    <x v="9"/>
    <s v="Randolph Community College"/>
    <n v="199421"/>
    <x v="7"/>
    <s v="sem"/>
    <s v="sem"/>
    <m/>
    <m/>
    <n v="33210"/>
    <n v="37230"/>
    <n v="13980"/>
    <n v="14190"/>
    <n v="36690"/>
    <n v="41790"/>
    <n v="83880"/>
    <n v="2796"/>
    <n v="93210"/>
    <n v="3107"/>
    <n v="5223.8999999999996"/>
    <n v="6624.3"/>
    <n v="83880"/>
    <n v="93210"/>
    <m/>
    <m/>
    <m/>
    <m/>
    <m/>
    <m/>
    <m/>
    <m/>
    <n v="0"/>
    <n v="0"/>
    <n v="0"/>
    <n v="0"/>
    <m/>
    <m/>
    <n v="0"/>
    <n v="0"/>
  </r>
  <r>
    <x v="9"/>
    <s v="Richmond Community College"/>
    <n v="199449"/>
    <x v="7"/>
    <s v="sem"/>
    <s v="sem"/>
    <m/>
    <m/>
    <n v="28410"/>
    <n v="28920"/>
    <n v="9960"/>
    <n v="11040"/>
    <n v="29580"/>
    <n v="33480"/>
    <n v="67950"/>
    <n v="2265"/>
    <n v="73440"/>
    <n v="2448"/>
    <n v="1873.1999999999998"/>
    <n v="2317.5"/>
    <n v="67950"/>
    <n v="73440"/>
    <m/>
    <m/>
    <m/>
    <m/>
    <m/>
    <m/>
    <m/>
    <m/>
    <n v="0"/>
    <n v="0"/>
    <n v="0"/>
    <n v="0"/>
    <m/>
    <m/>
    <n v="0"/>
    <n v="0"/>
  </r>
  <r>
    <x v="9"/>
    <s v="Robeson Community College"/>
    <n v="199476"/>
    <x v="7"/>
    <s v="sem"/>
    <s v="sem"/>
    <m/>
    <m/>
    <n v="47250"/>
    <n v="50850"/>
    <n v="18420"/>
    <n v="19500"/>
    <n v="50850"/>
    <n v="55650"/>
    <n v="116520"/>
    <n v="3884"/>
    <n v="126000"/>
    <n v="4200"/>
    <n v="2274.3000000000002"/>
    <n v="3126.6"/>
    <n v="116520"/>
    <n v="126000"/>
    <m/>
    <m/>
    <m/>
    <m/>
    <m/>
    <m/>
    <m/>
    <m/>
    <n v="0"/>
    <n v="0"/>
    <n v="0"/>
    <n v="0"/>
    <m/>
    <m/>
    <n v="0"/>
    <n v="0"/>
  </r>
  <r>
    <x v="9"/>
    <s v="Rockingham Community College "/>
    <n v="199485"/>
    <x v="7"/>
    <s v="sem"/>
    <s v="sem"/>
    <m/>
    <m/>
    <n v="27180"/>
    <n v="30630"/>
    <n v="9120"/>
    <n v="10380"/>
    <n v="30870"/>
    <n v="36600"/>
    <n v="67170"/>
    <n v="2239"/>
    <n v="77610"/>
    <n v="2587"/>
    <n v="1245"/>
    <n v="1560"/>
    <n v="67170"/>
    <n v="77610"/>
    <m/>
    <m/>
    <m/>
    <m/>
    <m/>
    <m/>
    <m/>
    <m/>
    <n v="0"/>
    <n v="0"/>
    <n v="0"/>
    <n v="0"/>
    <m/>
    <m/>
    <n v="0"/>
    <n v="0"/>
  </r>
  <r>
    <x v="9"/>
    <s v="Sandhills Community College "/>
    <n v="199634"/>
    <x v="7"/>
    <s v="sem"/>
    <s v="sem"/>
    <m/>
    <m/>
    <n v="52860"/>
    <n v="57420"/>
    <n v="16230"/>
    <n v="20100"/>
    <n v="55950"/>
    <n v="60150"/>
    <n v="125040"/>
    <n v="4168"/>
    <n v="137670"/>
    <n v="4589"/>
    <n v="6114.3"/>
    <n v="4557.3"/>
    <n v="125040"/>
    <n v="137670"/>
    <m/>
    <m/>
    <m/>
    <m/>
    <m/>
    <m/>
    <m/>
    <m/>
    <n v="0"/>
    <n v="0"/>
    <n v="0"/>
    <n v="0"/>
    <m/>
    <m/>
    <n v="0"/>
    <n v="0"/>
  </r>
  <r>
    <x v="9"/>
    <s v="South Piedmont Community College"/>
    <n v="197850"/>
    <x v="7"/>
    <s v="sem"/>
    <s v="sem"/>
    <m/>
    <m/>
    <n v="31920"/>
    <n v="36210"/>
    <n v="10200"/>
    <n v="11490"/>
    <n v="34830"/>
    <n v="39810"/>
    <n v="76950"/>
    <n v="2565"/>
    <n v="87510"/>
    <n v="2917"/>
    <n v="2728.2"/>
    <n v="4458.8999999999996"/>
    <n v="76950"/>
    <n v="87510"/>
    <m/>
    <m/>
    <m/>
    <m/>
    <m/>
    <m/>
    <m/>
    <m/>
    <n v="0"/>
    <n v="0"/>
    <n v="0"/>
    <n v="0"/>
    <m/>
    <m/>
    <n v="0"/>
    <n v="0"/>
  </r>
  <r>
    <x v="9"/>
    <s v="Southeastern Community College "/>
    <n v="199722"/>
    <x v="7"/>
    <s v="sem"/>
    <s v="sem"/>
    <m/>
    <m/>
    <n v="33750"/>
    <n v="37470"/>
    <n v="10320"/>
    <n v="14070"/>
    <n v="36210"/>
    <n v="41940"/>
    <n v="80280"/>
    <n v="2676"/>
    <n v="93480"/>
    <n v="3116"/>
    <n v="4492.7999999999993"/>
    <n v="4486.2"/>
    <n v="80280"/>
    <n v="93480"/>
    <m/>
    <m/>
    <m/>
    <m/>
    <m/>
    <m/>
    <m/>
    <m/>
    <n v="0"/>
    <n v="0"/>
    <n v="0"/>
    <n v="0"/>
    <m/>
    <m/>
    <n v="0"/>
    <n v="0"/>
  </r>
  <r>
    <x v="9"/>
    <s v="Southwestern Community College "/>
    <n v="199731"/>
    <x v="7"/>
    <s v="sem"/>
    <s v="sem"/>
    <m/>
    <m/>
    <n v="31800"/>
    <n v="35460"/>
    <n v="10020"/>
    <n v="11790"/>
    <n v="35790"/>
    <n v="37440"/>
    <n v="77610"/>
    <n v="2587"/>
    <n v="84690"/>
    <n v="2823"/>
    <n v="6205.2"/>
    <n v="7422.3"/>
    <n v="77610"/>
    <n v="84690"/>
    <m/>
    <m/>
    <m/>
    <m/>
    <m/>
    <m/>
    <m/>
    <m/>
    <n v="0"/>
    <n v="0"/>
    <n v="0"/>
    <n v="0"/>
    <m/>
    <m/>
    <n v="0"/>
    <n v="0"/>
  </r>
  <r>
    <x v="9"/>
    <s v="Stanly Community College"/>
    <n v="199740"/>
    <x v="7"/>
    <s v="sem"/>
    <s v="sem"/>
    <m/>
    <m/>
    <n v="33600"/>
    <n v="37890"/>
    <n v="12390"/>
    <n v="13260"/>
    <n v="38340"/>
    <n v="45090"/>
    <n v="84330"/>
    <n v="2811"/>
    <n v="96240"/>
    <n v="3208"/>
    <n v="2915.4"/>
    <n v="3048.8999999999996"/>
    <n v="84330"/>
    <n v="96240"/>
    <m/>
    <m/>
    <m/>
    <m/>
    <m/>
    <m/>
    <m/>
    <m/>
    <n v="0"/>
    <n v="0"/>
    <n v="0"/>
    <n v="0"/>
    <m/>
    <m/>
    <n v="0"/>
    <n v="0"/>
  </r>
  <r>
    <x v="9"/>
    <s v="Surry Community College "/>
    <n v="199768"/>
    <x v="7"/>
    <s v="sem"/>
    <s v="sem"/>
    <m/>
    <m/>
    <n v="45870"/>
    <n v="47730"/>
    <n v="15660"/>
    <n v="16200"/>
    <n v="50220"/>
    <n v="52890"/>
    <n v="111750"/>
    <n v="3725"/>
    <n v="116820"/>
    <n v="3894"/>
    <n v="5877.3"/>
    <n v="8242.7999999999993"/>
    <n v="111750"/>
    <n v="116820"/>
    <m/>
    <m/>
    <m/>
    <m/>
    <m/>
    <m/>
    <m/>
    <m/>
    <n v="0"/>
    <n v="0"/>
    <n v="0"/>
    <n v="0"/>
    <m/>
    <m/>
    <n v="0"/>
    <n v="0"/>
  </r>
  <r>
    <x v="9"/>
    <s v="Vance-Granville Community College "/>
    <n v="199838"/>
    <x v="7"/>
    <s v="sem"/>
    <s v="sem"/>
    <m/>
    <m/>
    <n v="58950"/>
    <n v="63540"/>
    <n v="18210"/>
    <n v="20190"/>
    <n v="65460"/>
    <n v="65670"/>
    <n v="142620"/>
    <n v="4754"/>
    <n v="149400"/>
    <n v="4980"/>
    <n v="8778.6"/>
    <n v="7520.7"/>
    <n v="142620"/>
    <n v="149400"/>
    <m/>
    <m/>
    <m/>
    <m/>
    <m/>
    <m/>
    <m/>
    <m/>
    <n v="0"/>
    <n v="0"/>
    <n v="0"/>
    <n v="0"/>
    <m/>
    <m/>
    <n v="0"/>
    <n v="0"/>
  </r>
  <r>
    <x v="9"/>
    <s v="Wayne Community College"/>
    <n v="199892"/>
    <x v="7"/>
    <s v="sem"/>
    <s v="sem"/>
    <m/>
    <m/>
    <n v="49020"/>
    <n v="50970"/>
    <n v="17190"/>
    <n v="15720"/>
    <n v="52440"/>
    <n v="56070"/>
    <n v="118650"/>
    <n v="3955"/>
    <n v="122760"/>
    <n v="4092"/>
    <n v="4302.3"/>
    <n v="4982.7"/>
    <n v="118650"/>
    <n v="122760"/>
    <m/>
    <m/>
    <m/>
    <m/>
    <m/>
    <m/>
    <m/>
    <m/>
    <n v="0"/>
    <n v="0"/>
    <n v="0"/>
    <n v="0"/>
    <m/>
    <m/>
    <n v="0"/>
    <n v="0"/>
  </r>
  <r>
    <x v="9"/>
    <s v="Western Piedmont Community College "/>
    <n v="199908"/>
    <x v="7"/>
    <s v="sem"/>
    <s v="sem"/>
    <m/>
    <m/>
    <n v="44250"/>
    <n v="48090"/>
    <n v="15420"/>
    <n v="17610"/>
    <n v="45660"/>
    <n v="53820"/>
    <n v="105330"/>
    <n v="3511"/>
    <n v="119520"/>
    <n v="3984"/>
    <n v="4194"/>
    <n v="4989.9000000000005"/>
    <n v="105330"/>
    <n v="119520"/>
    <m/>
    <m/>
    <m/>
    <m/>
    <m/>
    <m/>
    <m/>
    <m/>
    <n v="0"/>
    <n v="0"/>
    <n v="0"/>
    <n v="0"/>
    <m/>
    <m/>
    <n v="0"/>
    <n v="0"/>
  </r>
  <r>
    <x v="9"/>
    <s v="Wilkes Community College "/>
    <n v="199926"/>
    <x v="7"/>
    <s v="sem"/>
    <s v="sem"/>
    <m/>
    <m/>
    <n v="37530"/>
    <n v="43470"/>
    <n v="10590"/>
    <n v="13350"/>
    <n v="42690"/>
    <n v="48870"/>
    <n v="90810"/>
    <n v="3027"/>
    <n v="105690"/>
    <n v="3523"/>
    <n v="4612.5"/>
    <n v="3268.2"/>
    <n v="90810"/>
    <n v="105690"/>
    <m/>
    <m/>
    <m/>
    <m/>
    <m/>
    <m/>
    <m/>
    <m/>
    <n v="0"/>
    <n v="0"/>
    <n v="0"/>
    <n v="0"/>
    <m/>
    <m/>
    <n v="0"/>
    <n v="0"/>
  </r>
  <r>
    <x v="9"/>
    <s v="Wilson Technical Community College"/>
    <n v="199953"/>
    <x v="7"/>
    <s v="sem"/>
    <s v="sem"/>
    <m/>
    <m/>
    <n v="29130"/>
    <n v="31080"/>
    <n v="13830"/>
    <n v="14580"/>
    <n v="29250"/>
    <n v="31650"/>
    <n v="72210"/>
    <n v="2407"/>
    <n v="77310"/>
    <n v="2577"/>
    <n v="838.2"/>
    <n v="2015.6999999999998"/>
    <n v="72210"/>
    <n v="77310"/>
    <m/>
    <m/>
    <m/>
    <m/>
    <m/>
    <m/>
    <m/>
    <m/>
    <n v="0"/>
    <n v="0"/>
    <n v="0"/>
    <n v="0"/>
    <m/>
    <m/>
    <n v="0"/>
    <n v="0"/>
  </r>
  <r>
    <x v="9"/>
    <s v="Beaufort County Community College "/>
    <n v="197966"/>
    <x v="8"/>
    <s v="sem"/>
    <s v="sem"/>
    <m/>
    <m/>
    <n v="24690"/>
    <n v="27510"/>
    <n v="6810"/>
    <n v="6690"/>
    <n v="26880"/>
    <n v="29910"/>
    <n v="58380"/>
    <n v="1946"/>
    <n v="64110"/>
    <n v="2137"/>
    <n v="2475.9"/>
    <n v="2160.9"/>
    <n v="58380"/>
    <n v="64110"/>
    <m/>
    <m/>
    <m/>
    <m/>
    <m/>
    <m/>
    <m/>
    <m/>
    <n v="0"/>
    <n v="0"/>
    <n v="0"/>
    <n v="0"/>
    <m/>
    <m/>
    <n v="0"/>
    <n v="0"/>
  </r>
  <r>
    <x v="9"/>
    <s v="Bladen Community College"/>
    <n v="198011"/>
    <x v="8"/>
    <s v="sem"/>
    <s v="sem"/>
    <m/>
    <m/>
    <n v="20460"/>
    <n v="22500"/>
    <n v="4890"/>
    <n v="4920"/>
    <n v="21480"/>
    <n v="26130"/>
    <n v="46830"/>
    <n v="1561"/>
    <n v="53550"/>
    <n v="1785"/>
    <n v="2384.4"/>
    <n v="1653.3"/>
    <n v="46830"/>
    <n v="53550"/>
    <m/>
    <m/>
    <m/>
    <m/>
    <m/>
    <m/>
    <m/>
    <m/>
    <n v="0"/>
    <n v="0"/>
    <n v="0"/>
    <n v="0"/>
    <m/>
    <m/>
    <n v="0"/>
    <n v="0"/>
  </r>
  <r>
    <x v="9"/>
    <s v="Brunswick Community College"/>
    <n v="198084"/>
    <x v="8"/>
    <s v="sem"/>
    <s v="sem"/>
    <m/>
    <m/>
    <n v="21120"/>
    <n v="24960"/>
    <n v="4920"/>
    <n v="6450"/>
    <n v="23910"/>
    <n v="26790"/>
    <n v="49950"/>
    <n v="1665"/>
    <n v="58200"/>
    <n v="1940"/>
    <n v="3070.5"/>
    <n v="3558.3"/>
    <n v="49950"/>
    <n v="58200"/>
    <m/>
    <m/>
    <m/>
    <m/>
    <m/>
    <m/>
    <m/>
    <m/>
    <n v="0"/>
    <n v="0"/>
    <n v="0"/>
    <n v="0"/>
    <m/>
    <m/>
    <n v="0"/>
    <n v="0"/>
  </r>
  <r>
    <x v="9"/>
    <s v="Carteret Community College"/>
    <n v="198206"/>
    <x v="8"/>
    <s v="sem"/>
    <s v="sem"/>
    <m/>
    <m/>
    <n v="24900"/>
    <n v="26820"/>
    <n v="9180"/>
    <n v="9060"/>
    <n v="25740"/>
    <n v="29310"/>
    <n v="59820"/>
    <n v="1994"/>
    <n v="65190"/>
    <n v="2173"/>
    <n v="1263.9000000000001"/>
    <n v="1507.5"/>
    <n v="59820"/>
    <n v="65190"/>
    <m/>
    <m/>
    <m/>
    <m/>
    <m/>
    <m/>
    <m/>
    <m/>
    <n v="0"/>
    <n v="0"/>
    <n v="0"/>
    <n v="0"/>
    <m/>
    <m/>
    <n v="0"/>
    <n v="0"/>
  </r>
  <r>
    <x v="9"/>
    <s v="Halifax Community College "/>
    <n v="198640"/>
    <x v="8"/>
    <s v="sem"/>
    <s v="sem"/>
    <m/>
    <m/>
    <n v="22260"/>
    <n v="24660"/>
    <n v="4800"/>
    <n v="4740"/>
    <n v="23610"/>
    <n v="27600"/>
    <n v="50670"/>
    <n v="1689"/>
    <n v="57000"/>
    <n v="1900"/>
    <n v="1053.9000000000001"/>
    <n v="748.2"/>
    <n v="50670"/>
    <n v="57000"/>
    <m/>
    <m/>
    <m/>
    <m/>
    <m/>
    <m/>
    <m/>
    <m/>
    <n v="0"/>
    <n v="0"/>
    <n v="0"/>
    <n v="0"/>
    <m/>
    <m/>
    <n v="0"/>
    <n v="0"/>
  </r>
  <r>
    <x v="9"/>
    <s v="James Sprunt Community College"/>
    <n v="198729"/>
    <x v="8"/>
    <s v="sem"/>
    <s v="sem"/>
    <m/>
    <m/>
    <n v="18030"/>
    <n v="19020"/>
    <n v="5550"/>
    <n v="6510"/>
    <n v="20430"/>
    <n v="24780"/>
    <n v="44010"/>
    <n v="1467"/>
    <n v="50310"/>
    <n v="1677"/>
    <n v="2222.7000000000003"/>
    <n v="2647.2"/>
    <n v="44010"/>
    <n v="50310"/>
    <m/>
    <m/>
    <m/>
    <m/>
    <m/>
    <m/>
    <m/>
    <m/>
    <n v="0"/>
    <n v="0"/>
    <n v="0"/>
    <n v="0"/>
    <m/>
    <m/>
    <n v="0"/>
    <n v="0"/>
  </r>
  <r>
    <x v="9"/>
    <s v="Martin Community College "/>
    <n v="198905"/>
    <x v="8"/>
    <s v="sem"/>
    <s v="sem"/>
    <m/>
    <m/>
    <n v="11100"/>
    <n v="12090"/>
    <n v="3900"/>
    <n v="4890"/>
    <n v="12180"/>
    <n v="15300"/>
    <n v="27180"/>
    <n v="906"/>
    <n v="32280"/>
    <n v="1076"/>
    <n v="1451.4"/>
    <n v="1184.0999999999999"/>
    <n v="27180"/>
    <n v="32280"/>
    <m/>
    <m/>
    <m/>
    <m/>
    <m/>
    <m/>
    <m/>
    <m/>
    <n v="0"/>
    <n v="0"/>
    <n v="0"/>
    <n v="0"/>
    <m/>
    <m/>
    <n v="0"/>
    <n v="0"/>
  </r>
  <r>
    <x v="9"/>
    <s v="McDowell Technical Community College"/>
    <n v="198923"/>
    <x v="8"/>
    <s v="sem"/>
    <s v="sem"/>
    <m/>
    <m/>
    <n v="17790"/>
    <n v="21420"/>
    <n v="7470"/>
    <n v="9690"/>
    <n v="20580"/>
    <n v="23790"/>
    <n v="45840"/>
    <n v="1528"/>
    <n v="54900"/>
    <n v="1830"/>
    <n v="2490.9"/>
    <n v="3191.7"/>
    <n v="45840"/>
    <n v="54900"/>
    <m/>
    <m/>
    <m/>
    <m/>
    <m/>
    <m/>
    <m/>
    <m/>
    <n v="0"/>
    <n v="0"/>
    <n v="0"/>
    <n v="0"/>
    <m/>
    <m/>
    <n v="0"/>
    <n v="0"/>
  </r>
  <r>
    <x v="9"/>
    <s v="Montgomery Community College"/>
    <n v="199023"/>
    <x v="8"/>
    <s v="sem"/>
    <s v="sem"/>
    <m/>
    <m/>
    <n v="14190"/>
    <n v="14190"/>
    <n v="4590"/>
    <n v="5070"/>
    <n v="14790"/>
    <n v="15060"/>
    <n v="33570"/>
    <n v="1119"/>
    <n v="34320"/>
    <n v="1144"/>
    <n v="918.9"/>
    <n v="1311"/>
    <n v="33570"/>
    <n v="34320"/>
    <m/>
    <m/>
    <m/>
    <m/>
    <m/>
    <m/>
    <m/>
    <m/>
    <n v="0"/>
    <n v="0"/>
    <n v="0"/>
    <n v="0"/>
    <m/>
    <m/>
    <n v="0"/>
    <n v="0"/>
  </r>
  <r>
    <x v="9"/>
    <s v="Pamlico Community College"/>
    <n v="199263"/>
    <x v="8"/>
    <s v="sem"/>
    <s v="sem"/>
    <m/>
    <m/>
    <n v="7170"/>
    <n v="8520"/>
    <n v="2460"/>
    <n v="2820"/>
    <n v="8310"/>
    <n v="9180"/>
    <n v="17940"/>
    <n v="598"/>
    <n v="20520"/>
    <n v="684"/>
    <n v="1024.8"/>
    <n v="1831.8000000000002"/>
    <n v="17940"/>
    <n v="20520"/>
    <m/>
    <m/>
    <m/>
    <m/>
    <m/>
    <m/>
    <m/>
    <m/>
    <n v="0"/>
    <n v="0"/>
    <n v="0"/>
    <n v="0"/>
    <m/>
    <m/>
    <n v="0"/>
    <n v="0"/>
  </r>
  <r>
    <x v="9"/>
    <s v="Roanoke-Chowan Community College"/>
    <n v="199467"/>
    <x v="8"/>
    <s v="sem"/>
    <s v="sem"/>
    <m/>
    <m/>
    <n v="11940"/>
    <n v="13200"/>
    <n v="2490"/>
    <n v="2610"/>
    <n v="14610"/>
    <n v="15450"/>
    <n v="29040"/>
    <n v="968"/>
    <n v="31260"/>
    <n v="1042"/>
    <n v="1758.9"/>
    <n v="1775.6999999999998"/>
    <n v="29040"/>
    <n v="31260"/>
    <m/>
    <m/>
    <m/>
    <m/>
    <m/>
    <m/>
    <m/>
    <m/>
    <n v="0"/>
    <n v="0"/>
    <n v="0"/>
    <n v="0"/>
    <m/>
    <m/>
    <n v="0"/>
    <n v="0"/>
  </r>
  <r>
    <x v="9"/>
    <s v="Sampson Community College"/>
    <n v="199625"/>
    <x v="8"/>
    <s v="sem"/>
    <s v="sem"/>
    <m/>
    <m/>
    <n v="22050"/>
    <n v="25560"/>
    <n v="8490"/>
    <n v="7530"/>
    <n v="26940"/>
    <n v="29010"/>
    <n v="57480"/>
    <n v="1916"/>
    <n v="62100"/>
    <n v="2070"/>
    <n v="3359.7"/>
    <n v="4249.2"/>
    <n v="57480"/>
    <n v="62100"/>
    <m/>
    <m/>
    <m/>
    <m/>
    <m/>
    <m/>
    <m/>
    <m/>
    <n v="0"/>
    <n v="0"/>
    <n v="0"/>
    <n v="0"/>
    <m/>
    <m/>
    <n v="0"/>
    <n v="0"/>
  </r>
  <r>
    <x v="9"/>
    <s v="Tri-County Community College "/>
    <n v="199795"/>
    <x v="8"/>
    <s v="sem"/>
    <s v="sem"/>
    <m/>
    <m/>
    <n v="14100"/>
    <n v="17490"/>
    <n v="4590"/>
    <n v="5820"/>
    <n v="16110"/>
    <n v="18930"/>
    <n v="34800"/>
    <n v="1160"/>
    <n v="42240"/>
    <n v="1408"/>
    <n v="4919.3999999999996"/>
    <n v="5328.3"/>
    <n v="34800"/>
    <n v="42240"/>
    <m/>
    <m/>
    <m/>
    <m/>
    <m/>
    <m/>
    <m/>
    <m/>
    <n v="0"/>
    <n v="0"/>
    <n v="0"/>
    <n v="0"/>
    <m/>
    <m/>
    <n v="0"/>
    <n v="0"/>
  </r>
  <r>
    <x v="10"/>
    <s v="Oklahoma State University Main Campus"/>
    <n v="207388"/>
    <x v="0"/>
    <s v="sem"/>
    <m/>
    <m/>
    <m/>
    <n v="229086"/>
    <n v="222529"/>
    <n v="29807"/>
    <n v="27241"/>
    <n v="242557"/>
    <n v="239057"/>
    <n v="501450"/>
    <n v="16715"/>
    <n v="488827"/>
    <n v="16294.233333333334"/>
    <n v="989"/>
    <n v="912"/>
    <n v="501450"/>
    <n v="488827"/>
    <m/>
    <m/>
    <m/>
    <m/>
    <m/>
    <m/>
    <m/>
    <m/>
    <n v="0"/>
    <n v="0"/>
    <n v="0"/>
    <n v="0"/>
    <m/>
    <m/>
    <n v="0"/>
    <n v="0"/>
  </r>
  <r>
    <x v="10"/>
    <s v="University of Oklahoma Norman Campus"/>
    <n v="207500"/>
    <x v="0"/>
    <s v="sem"/>
    <m/>
    <m/>
    <m/>
    <n v="253520"/>
    <n v="258599"/>
    <n v="32732"/>
    <n v="34927"/>
    <n v="275747"/>
    <n v="277497"/>
    <n v="561999"/>
    <n v="18733.3"/>
    <n v="571023"/>
    <n v="19034.099999999999"/>
    <n v="336"/>
    <n v="335"/>
    <n v="561999"/>
    <n v="571023"/>
    <m/>
    <m/>
    <m/>
    <m/>
    <m/>
    <m/>
    <m/>
    <m/>
    <n v="0"/>
    <n v="0"/>
    <n v="0"/>
    <n v="0"/>
    <m/>
    <m/>
    <n v="0"/>
    <n v="0"/>
  </r>
  <r>
    <x v="10"/>
    <s v="Northeastern State University"/>
    <n v="207263"/>
    <x v="2"/>
    <s v="sem"/>
    <m/>
    <m/>
    <m/>
    <n v="90263"/>
    <n v="86414"/>
    <n v="15324"/>
    <n v="16791"/>
    <n v="92752"/>
    <n v="95610"/>
    <n v="198339"/>
    <n v="6611.3"/>
    <n v="198815"/>
    <n v="6627.166666666667"/>
    <n v="983"/>
    <n v="1113"/>
    <n v="198339"/>
    <n v="198815"/>
    <m/>
    <m/>
    <m/>
    <m/>
    <m/>
    <m/>
    <m/>
    <m/>
    <n v="0"/>
    <n v="0"/>
    <n v="0"/>
    <n v="0"/>
    <m/>
    <m/>
    <n v="0"/>
    <n v="0"/>
  </r>
  <r>
    <x v="10"/>
    <s v="University of Central Oklahoma"/>
    <n v="206941"/>
    <x v="2"/>
    <s v="sem"/>
    <m/>
    <m/>
    <m/>
    <n v="135993"/>
    <n v="136157"/>
    <n v="22675"/>
    <n v="22279"/>
    <n v="149369"/>
    <n v="165010"/>
    <n v="308037"/>
    <n v="10267.9"/>
    <n v="323446"/>
    <n v="10781.533333333333"/>
    <n v="2279"/>
    <n v="1578"/>
    <n v="308037"/>
    <n v="323446"/>
    <m/>
    <m/>
    <m/>
    <m/>
    <m/>
    <m/>
    <m/>
    <m/>
    <n v="0"/>
    <n v="0"/>
    <n v="0"/>
    <n v="0"/>
    <m/>
    <m/>
    <n v="0"/>
    <n v="0"/>
  </r>
  <r>
    <x v="10"/>
    <s v="Cameron University "/>
    <n v="206914"/>
    <x v="4"/>
    <s v="sem"/>
    <m/>
    <m/>
    <m/>
    <n v="51587"/>
    <n v="52911"/>
    <n v="11580"/>
    <n v="12047"/>
    <n v="55018"/>
    <n v="62107"/>
    <n v="118185"/>
    <n v="3939.5"/>
    <n v="127065"/>
    <n v="4235.5"/>
    <n v="1612"/>
    <n v="1686"/>
    <n v="118185"/>
    <n v="127065"/>
    <m/>
    <m/>
    <m/>
    <m/>
    <m/>
    <m/>
    <m/>
    <m/>
    <n v="0"/>
    <n v="0"/>
    <n v="0"/>
    <n v="0"/>
    <m/>
    <m/>
    <n v="0"/>
    <n v="0"/>
  </r>
  <r>
    <x v="10"/>
    <s v="East Central University "/>
    <n v="207041"/>
    <x v="4"/>
    <s v="sem"/>
    <m/>
    <m/>
    <m/>
    <n v="43116"/>
    <n v="42739"/>
    <n v="7688"/>
    <n v="8179"/>
    <n v="45362"/>
    <n v="47654"/>
    <n v="96166"/>
    <n v="3205.5333333333333"/>
    <n v="98572"/>
    <n v="3285.7333333333331"/>
    <n v="384"/>
    <n v="491"/>
    <n v="96166"/>
    <n v="98572"/>
    <m/>
    <m/>
    <m/>
    <m/>
    <m/>
    <m/>
    <m/>
    <m/>
    <n v="0"/>
    <n v="0"/>
    <n v="0"/>
    <n v="0"/>
    <m/>
    <m/>
    <n v="0"/>
    <n v="0"/>
  </r>
  <r>
    <x v="10"/>
    <s v="Langston University"/>
    <n v="207209"/>
    <x v="4"/>
    <s v="sem"/>
    <m/>
    <m/>
    <m/>
    <n v="29605"/>
    <n v="29415"/>
    <n v="4235"/>
    <n v="4228"/>
    <n v="32351"/>
    <n v="31608"/>
    <n v="66191"/>
    <n v="2206.3666666666668"/>
    <n v="65251"/>
    <n v="2175.0333333333333"/>
    <m/>
    <n v="6"/>
    <n v="0"/>
    <n v="65251"/>
    <m/>
    <m/>
    <m/>
    <m/>
    <m/>
    <m/>
    <m/>
    <m/>
    <n v="0"/>
    <n v="0"/>
    <n v="0"/>
    <n v="0"/>
    <m/>
    <m/>
    <n v="0"/>
    <n v="0"/>
  </r>
  <r>
    <x v="10"/>
    <s v="Northwestern Oklahoma State University "/>
    <n v="207306"/>
    <x v="4"/>
    <s v="sem"/>
    <m/>
    <m/>
    <m/>
    <n v="21035"/>
    <n v="21297"/>
    <n v="3732"/>
    <n v="3858"/>
    <n v="22838"/>
    <n v="25020"/>
    <n v="47605"/>
    <n v="1586.8333333333333"/>
    <n v="50175"/>
    <n v="1672.5"/>
    <n v="461"/>
    <n v="529"/>
    <n v="47605"/>
    <n v="50175"/>
    <m/>
    <m/>
    <m/>
    <m/>
    <m/>
    <m/>
    <m/>
    <m/>
    <n v="0"/>
    <n v="0"/>
    <n v="0"/>
    <n v="0"/>
    <m/>
    <m/>
    <n v="0"/>
    <n v="0"/>
  </r>
  <r>
    <x v="10"/>
    <s v="Southeastern Oklahoma State University "/>
    <n v="207847"/>
    <x v="4"/>
    <s v="sem"/>
    <m/>
    <m/>
    <m/>
    <n v="39183"/>
    <n v="40229"/>
    <n v="7890"/>
    <n v="8507"/>
    <n v="43124"/>
    <n v="46822"/>
    <n v="90197"/>
    <n v="3006.5666666666666"/>
    <n v="95558"/>
    <n v="3185.2666666666669"/>
    <n v="1496"/>
    <n v="1519"/>
    <n v="90197"/>
    <n v="95558"/>
    <m/>
    <m/>
    <m/>
    <m/>
    <m/>
    <m/>
    <m/>
    <m/>
    <n v="0"/>
    <n v="0"/>
    <n v="0"/>
    <n v="0"/>
    <m/>
    <m/>
    <n v="0"/>
    <n v="0"/>
  </r>
  <r>
    <x v="10"/>
    <s v="Southwestern Oklahoma State University"/>
    <n v="207865"/>
    <x v="4"/>
    <s v="sem"/>
    <m/>
    <m/>
    <m/>
    <n v="50107"/>
    <n v="49817"/>
    <n v="6480"/>
    <n v="7568"/>
    <n v="53736"/>
    <n v="55106"/>
    <n v="110323"/>
    <n v="3677.4333333333334"/>
    <n v="112491"/>
    <n v="3749.7"/>
    <n v="1235"/>
    <n v="1359"/>
    <n v="110323"/>
    <n v="112491"/>
    <m/>
    <m/>
    <m/>
    <m/>
    <m/>
    <m/>
    <m/>
    <m/>
    <n v="0"/>
    <n v="0"/>
    <n v="0"/>
    <n v="0"/>
    <m/>
    <m/>
    <n v="0"/>
    <n v="0"/>
  </r>
  <r>
    <x v="10"/>
    <s v="Oklahoma Panhandle State University "/>
    <n v="207351"/>
    <x v="5"/>
    <s v="sem"/>
    <m/>
    <m/>
    <m/>
    <n v="14277"/>
    <n v="14762"/>
    <n v="1625"/>
    <n v="1543"/>
    <n v="16370"/>
    <n v="17270"/>
    <n v="32272"/>
    <n v="1075.7333333333333"/>
    <n v="33575"/>
    <n v="1119.1666666666667"/>
    <n v="402"/>
    <n v="445"/>
    <n v="32272"/>
    <n v="33575"/>
    <m/>
    <m/>
    <m/>
    <m/>
    <m/>
    <m/>
    <m/>
    <m/>
    <n v="0"/>
    <n v="0"/>
    <n v="0"/>
    <n v="0"/>
    <m/>
    <m/>
    <n v="0"/>
    <n v="0"/>
  </r>
  <r>
    <x v="10"/>
    <s v="Rogers State University"/>
    <n v="207661"/>
    <x v="5"/>
    <s v="sem"/>
    <m/>
    <m/>
    <m/>
    <n v="37236"/>
    <n v="39559"/>
    <n v="5731"/>
    <n v="6504"/>
    <n v="41591"/>
    <n v="45738"/>
    <n v="84558"/>
    <n v="2818.6"/>
    <n v="91801"/>
    <n v="3060.0333333333333"/>
    <n v="1908"/>
    <n v="2194"/>
    <n v="84558"/>
    <n v="91801"/>
    <m/>
    <m/>
    <m/>
    <m/>
    <m/>
    <m/>
    <m/>
    <m/>
    <n v="0"/>
    <n v="0"/>
    <n v="0"/>
    <n v="0"/>
    <m/>
    <m/>
    <n v="0"/>
    <n v="0"/>
  </r>
  <r>
    <x v="10"/>
    <s v="University of Science and Arts of Oklahoma"/>
    <n v="207722"/>
    <x v="5"/>
    <s v="sem"/>
    <m/>
    <m/>
    <m/>
    <n v="13302"/>
    <n v="12767"/>
    <n v="4685"/>
    <n v="4606"/>
    <n v="14293"/>
    <n v="14013"/>
    <n v="32280"/>
    <n v="1076"/>
    <n v="31386"/>
    <n v="1046.2"/>
    <n v="109"/>
    <n v="94"/>
    <n v="32280"/>
    <n v="31386"/>
    <m/>
    <m/>
    <m/>
    <m/>
    <m/>
    <m/>
    <m/>
    <m/>
    <n v="0"/>
    <n v="0"/>
    <n v="0"/>
    <n v="0"/>
    <m/>
    <m/>
    <n v="0"/>
    <n v="0"/>
  </r>
  <r>
    <x v="10"/>
    <s v="Oklahoma State University Technical Branch-Okmulgee "/>
    <n v="207564"/>
    <x v="11"/>
    <s v="sem"/>
    <m/>
    <m/>
    <m/>
    <n v="32737"/>
    <n v="35453"/>
    <n v="18274"/>
    <n v="20097"/>
    <n v="37057"/>
    <n v="43006"/>
    <n v="88068"/>
    <n v="2935.6"/>
    <n v="98556"/>
    <n v="3285.2"/>
    <n v="1054"/>
    <n v="1152"/>
    <n v="88068"/>
    <n v="98556"/>
    <m/>
    <m/>
    <m/>
    <m/>
    <m/>
    <m/>
    <m/>
    <m/>
    <n v="0"/>
    <n v="0"/>
    <n v="0"/>
    <n v="0"/>
    <m/>
    <m/>
    <n v="0"/>
    <n v="0"/>
  </r>
  <r>
    <x v="10"/>
    <s v="Oklahoma City Community College "/>
    <n v="207449"/>
    <x v="6"/>
    <s v="sem"/>
    <m/>
    <m/>
    <m/>
    <n v="102791"/>
    <n v="108192"/>
    <n v="26856"/>
    <n v="29788"/>
    <n v="108830"/>
    <n v="126851"/>
    <n v="238477"/>
    <n v="7949.2333333333336"/>
    <n v="264831"/>
    <n v="8827.7000000000007"/>
    <n v="5154"/>
    <n v="7447"/>
    <n v="238477"/>
    <n v="264831"/>
    <m/>
    <m/>
    <m/>
    <m/>
    <m/>
    <m/>
    <m/>
    <m/>
    <n v="0"/>
    <n v="0"/>
    <n v="0"/>
    <n v="0"/>
    <m/>
    <m/>
    <n v="0"/>
    <n v="0"/>
  </r>
  <r>
    <x v="10"/>
    <s v="Tulsa Community College "/>
    <n v="207935"/>
    <x v="6"/>
    <s v="sem"/>
    <m/>
    <m/>
    <m/>
    <n v="138326"/>
    <n v="149337"/>
    <n v="46432"/>
    <n v="49277"/>
    <n v="156006"/>
    <n v="175882"/>
    <n v="340764"/>
    <n v="11358.8"/>
    <n v="374496"/>
    <n v="12483.2"/>
    <n v="7779"/>
    <n v="9456"/>
    <n v="340764"/>
    <n v="374496"/>
    <m/>
    <m/>
    <m/>
    <m/>
    <m/>
    <m/>
    <m/>
    <m/>
    <n v="0"/>
    <n v="0"/>
    <n v="0"/>
    <n v="0"/>
    <m/>
    <m/>
    <n v="0"/>
    <n v="0"/>
  </r>
  <r>
    <x v="10"/>
    <s v="Northern Oklahoma College "/>
    <n v="207281"/>
    <x v="7"/>
    <s v="sem"/>
    <m/>
    <m/>
    <m/>
    <n v="46965"/>
    <n v="47037"/>
    <n v="7745"/>
    <n v="7211"/>
    <n v="49507"/>
    <n v="51355"/>
    <n v="104217"/>
    <n v="3473.9"/>
    <n v="105603"/>
    <n v="3520.1"/>
    <n v="3178"/>
    <n v="3780"/>
    <n v="104217"/>
    <n v="105603"/>
    <m/>
    <m/>
    <m/>
    <m/>
    <m/>
    <m/>
    <m/>
    <m/>
    <n v="0"/>
    <n v="0"/>
    <n v="0"/>
    <n v="0"/>
    <m/>
    <m/>
    <n v="0"/>
    <n v="0"/>
  </r>
  <r>
    <x v="10"/>
    <s v="Oklahoma State University-Oklahoma City "/>
    <n v="207397"/>
    <x v="7"/>
    <s v="sem"/>
    <m/>
    <m/>
    <m/>
    <n v="48008"/>
    <n v="51383"/>
    <n v="13440"/>
    <n v="15681"/>
    <n v="51716"/>
    <n v="63724"/>
    <n v="113164"/>
    <n v="3772.1333333333332"/>
    <n v="130788"/>
    <n v="4359.6000000000004"/>
    <n v="1454"/>
    <n v="104"/>
    <n v="113164"/>
    <n v="130788"/>
    <m/>
    <m/>
    <m/>
    <m/>
    <m/>
    <m/>
    <m/>
    <m/>
    <n v="0"/>
    <n v="0"/>
    <n v="0"/>
    <n v="0"/>
    <m/>
    <m/>
    <n v="0"/>
    <n v="0"/>
  </r>
  <r>
    <x v="10"/>
    <s v="Rose State College "/>
    <n v="207670"/>
    <x v="7"/>
    <s v="sem"/>
    <m/>
    <m/>
    <m/>
    <n v="59638"/>
    <n v="60745"/>
    <n v="14675"/>
    <n v="16064"/>
    <n v="65638"/>
    <n v="74152"/>
    <n v="139951"/>
    <n v="4665.0333333333338"/>
    <n v="150961"/>
    <n v="5032.0333333333338"/>
    <n v="2830"/>
    <n v="2458"/>
    <n v="139951"/>
    <n v="150961"/>
    <m/>
    <m/>
    <m/>
    <m/>
    <m/>
    <m/>
    <m/>
    <m/>
    <n v="0"/>
    <n v="0"/>
    <n v="0"/>
    <n v="0"/>
    <m/>
    <m/>
    <n v="0"/>
    <n v="0"/>
  </r>
  <r>
    <x v="10"/>
    <s v="Carl Albert State College"/>
    <n v="206923"/>
    <x v="8"/>
    <s v="sem"/>
    <m/>
    <m/>
    <m/>
    <n v="23423"/>
    <n v="23826"/>
    <n v="4627"/>
    <n v="5047"/>
    <n v="25544"/>
    <n v="27809"/>
    <n v="53594"/>
    <n v="1786.4666666666667"/>
    <n v="56682"/>
    <n v="1889.4"/>
    <n v="422"/>
    <n v="1894"/>
    <n v="53594"/>
    <n v="56682"/>
    <m/>
    <m/>
    <m/>
    <m/>
    <m/>
    <m/>
    <m/>
    <m/>
    <n v="0"/>
    <n v="0"/>
    <n v="0"/>
    <n v="0"/>
    <m/>
    <m/>
    <n v="0"/>
    <n v="0"/>
  </r>
  <r>
    <x v="10"/>
    <s v="Connors State College "/>
    <n v="206996"/>
    <x v="8"/>
    <s v="sem"/>
    <m/>
    <m/>
    <m/>
    <n v="21306"/>
    <n v="22114"/>
    <n v="3849"/>
    <n v="3847"/>
    <n v="24410"/>
    <n v="24789"/>
    <n v="49565"/>
    <n v="1652.1666666666667"/>
    <n v="50750"/>
    <n v="1691.6666666666667"/>
    <n v="1269"/>
    <n v="1248"/>
    <n v="49565"/>
    <n v="50750"/>
    <m/>
    <m/>
    <m/>
    <m/>
    <m/>
    <m/>
    <m/>
    <m/>
    <n v="0"/>
    <n v="0"/>
    <n v="0"/>
    <n v="0"/>
    <m/>
    <m/>
    <n v="0"/>
    <n v="0"/>
  </r>
  <r>
    <x v="10"/>
    <s v="Eastern Oklahoma State College "/>
    <n v="207050"/>
    <x v="8"/>
    <s v="sem"/>
    <m/>
    <m/>
    <m/>
    <n v="17075"/>
    <n v="17762"/>
    <n v="3031"/>
    <n v="3730"/>
    <n v="19289"/>
    <n v="21460"/>
    <n v="39395"/>
    <n v="1313.1666666666667"/>
    <n v="42952"/>
    <n v="1431.7333333333333"/>
    <n v="1203"/>
    <n v="2883"/>
    <n v="39395"/>
    <n v="42952"/>
    <m/>
    <m/>
    <m/>
    <m/>
    <m/>
    <m/>
    <m/>
    <m/>
    <n v="0"/>
    <n v="0"/>
    <n v="0"/>
    <n v="0"/>
    <m/>
    <m/>
    <n v="0"/>
    <n v="0"/>
  </r>
  <r>
    <x v="10"/>
    <s v="Murray State College "/>
    <n v="207236"/>
    <x v="8"/>
    <s v="sem"/>
    <m/>
    <m/>
    <m/>
    <n v="23182"/>
    <n v="23210"/>
    <n v="3683"/>
    <n v="4575"/>
    <n v="24045"/>
    <n v="26281"/>
    <n v="50910"/>
    <n v="1697"/>
    <n v="54066"/>
    <n v="1802.2"/>
    <n v="3003"/>
    <n v="2753"/>
    <n v="50910"/>
    <n v="54066"/>
    <m/>
    <m/>
    <m/>
    <m/>
    <m/>
    <m/>
    <m/>
    <m/>
    <n v="0"/>
    <n v="0"/>
    <n v="0"/>
    <n v="0"/>
    <m/>
    <m/>
    <n v="0"/>
    <n v="0"/>
  </r>
  <r>
    <x v="10"/>
    <s v="Northeastern Oklahoma A &amp; M College "/>
    <n v="207290"/>
    <x v="8"/>
    <s v="sem"/>
    <m/>
    <m/>
    <m/>
    <n v="19302"/>
    <n v="20896"/>
    <n v="3161"/>
    <n v="3835"/>
    <n v="23052"/>
    <n v="27095"/>
    <n v="45515"/>
    <n v="1517.1666666666667"/>
    <n v="51826"/>
    <n v="1727.5333333333333"/>
    <n v="1056"/>
    <n v="1428"/>
    <n v="45515"/>
    <n v="51826"/>
    <m/>
    <m/>
    <m/>
    <m/>
    <m/>
    <m/>
    <m/>
    <m/>
    <n v="0"/>
    <n v="0"/>
    <n v="0"/>
    <n v="0"/>
    <m/>
    <m/>
    <n v="0"/>
    <n v="0"/>
  </r>
  <r>
    <x v="10"/>
    <s v="Redlands Community College"/>
    <n v="207069"/>
    <x v="8"/>
    <s v="sem"/>
    <m/>
    <m/>
    <m/>
    <n v="18306"/>
    <n v="19116"/>
    <n v="3829"/>
    <n v="3911"/>
    <n v="20265"/>
    <n v="20585"/>
    <n v="42400"/>
    <n v="1413.3333333333333"/>
    <n v="43612"/>
    <n v="1453.7333333333333"/>
    <n v="5384"/>
    <n v="5233"/>
    <n v="42400"/>
    <n v="43612"/>
    <m/>
    <m/>
    <m/>
    <m/>
    <m/>
    <m/>
    <m/>
    <m/>
    <n v="0"/>
    <n v="0"/>
    <n v="0"/>
    <n v="0"/>
    <m/>
    <m/>
    <n v="0"/>
    <n v="0"/>
  </r>
  <r>
    <x v="10"/>
    <s v="Seminole State College "/>
    <n v="207740"/>
    <x v="8"/>
    <s v="sem"/>
    <m/>
    <m/>
    <m/>
    <n v="18523"/>
    <n v="19935"/>
    <n v="2924"/>
    <n v="3796"/>
    <n v="21181"/>
    <n v="25285"/>
    <n v="42628"/>
    <n v="1420.9333333333334"/>
    <n v="49016"/>
    <n v="1633.8666666666666"/>
    <n v="1634"/>
    <n v="1580"/>
    <n v="42628"/>
    <n v="49016"/>
    <m/>
    <m/>
    <m/>
    <m/>
    <m/>
    <m/>
    <m/>
    <m/>
    <n v="0"/>
    <n v="0"/>
    <n v="0"/>
    <n v="0"/>
    <m/>
    <m/>
    <n v="0"/>
    <n v="0"/>
  </r>
  <r>
    <x v="10"/>
    <s v="Western Oklahoma State College "/>
    <n v="208035"/>
    <x v="8"/>
    <s v="sem"/>
    <m/>
    <m/>
    <m/>
    <n v="15299"/>
    <n v="16472"/>
    <n v="3068"/>
    <n v="4857"/>
    <n v="19849"/>
    <n v="26550"/>
    <n v="38216"/>
    <n v="1273.8666666666666"/>
    <n v="47879"/>
    <n v="1595.9666666666667"/>
    <n v="1397"/>
    <n v="1596"/>
    <n v="38216"/>
    <n v="47879"/>
    <m/>
    <m/>
    <m/>
    <m/>
    <m/>
    <m/>
    <m/>
    <m/>
    <n v="0"/>
    <n v="0"/>
    <n v="0"/>
    <n v="0"/>
    <m/>
    <m/>
    <n v="0"/>
    <n v="0"/>
  </r>
  <r>
    <x v="10"/>
    <s v="Canadian Valley Technology Center                 "/>
    <n v="365374"/>
    <x v="9"/>
    <s v="sem"/>
    <m/>
    <m/>
    <m/>
    <m/>
    <m/>
    <m/>
    <m/>
    <m/>
    <m/>
    <n v="0"/>
    <n v="0"/>
    <n v="0"/>
    <n v="0"/>
    <m/>
    <m/>
    <n v="0"/>
    <n v="0"/>
    <m/>
    <m/>
    <m/>
    <m/>
    <m/>
    <m/>
    <n v="955036.96"/>
    <n v="947204"/>
    <n v="955036.96"/>
    <n v="1061.1521777777778"/>
    <n v="947204"/>
    <n v="1052.4488888888889"/>
    <m/>
    <m/>
    <n v="0"/>
    <n v="0"/>
  </r>
  <r>
    <x v="10"/>
    <s v="Francis Tuttle Technology Center                  "/>
    <n v="245999"/>
    <x v="9"/>
    <s v="sem"/>
    <m/>
    <m/>
    <m/>
    <m/>
    <m/>
    <m/>
    <m/>
    <m/>
    <m/>
    <n v="0"/>
    <n v="0"/>
    <n v="0"/>
    <n v="0"/>
    <m/>
    <m/>
    <n v="0"/>
    <n v="0"/>
    <m/>
    <m/>
    <m/>
    <m/>
    <m/>
    <m/>
    <n v="1856749.05"/>
    <n v="1618715"/>
    <n v="1856749.05"/>
    <n v="2063.0545000000002"/>
    <n v="1618715"/>
    <n v="1798.5722222222223"/>
    <m/>
    <m/>
    <n v="0"/>
    <n v="0"/>
  </r>
  <r>
    <x v="10"/>
    <s v="Great Plains Technology Center                    "/>
    <n v="364548"/>
    <x v="9"/>
    <s v="sem"/>
    <m/>
    <m/>
    <m/>
    <m/>
    <m/>
    <m/>
    <m/>
    <m/>
    <m/>
    <n v="0"/>
    <n v="0"/>
    <n v="0"/>
    <n v="0"/>
    <m/>
    <m/>
    <n v="0"/>
    <n v="0"/>
    <m/>
    <m/>
    <m/>
    <m/>
    <m/>
    <m/>
    <n v="946199.4"/>
    <n v="845922"/>
    <n v="946199.4"/>
    <n v="1051.3326666666667"/>
    <n v="845922"/>
    <n v="939.9133333333333"/>
    <m/>
    <m/>
    <n v="0"/>
    <n v="0"/>
  </r>
  <r>
    <x v="10"/>
    <s v="Metro Technology Centers                          "/>
    <n v="363165"/>
    <x v="9"/>
    <s v="sem"/>
    <m/>
    <m/>
    <m/>
    <m/>
    <m/>
    <m/>
    <m/>
    <m/>
    <m/>
    <n v="0"/>
    <n v="0"/>
    <n v="0"/>
    <n v="0"/>
    <m/>
    <m/>
    <n v="0"/>
    <n v="0"/>
    <m/>
    <m/>
    <m/>
    <m/>
    <m/>
    <m/>
    <n v="1385602.75"/>
    <n v="1233523"/>
    <n v="1385602.75"/>
    <n v="1539.5586111111111"/>
    <n v="1233523"/>
    <n v="1370.5811111111111"/>
    <m/>
    <m/>
    <n v="0"/>
    <n v="0"/>
  </r>
  <r>
    <x v="10"/>
    <s v="Tulsa Technology Center-Broken Arrow Campus       "/>
    <n v="261393"/>
    <x v="9"/>
    <s v="sem"/>
    <m/>
    <m/>
    <m/>
    <m/>
    <m/>
    <m/>
    <m/>
    <m/>
    <m/>
    <n v="0"/>
    <n v="0"/>
    <n v="0"/>
    <n v="0"/>
    <m/>
    <m/>
    <n v="0"/>
    <n v="0"/>
    <m/>
    <m/>
    <m/>
    <m/>
    <m/>
    <m/>
    <n v="972189.6"/>
    <n v="762882"/>
    <n v="972189.6"/>
    <n v="1080.2106666666666"/>
    <n v="762882"/>
    <n v="847.64666666666665"/>
    <m/>
    <m/>
    <n v="0"/>
    <n v="0"/>
  </r>
  <r>
    <x v="10"/>
    <s v="Autry Technology Center                           "/>
    <n v="365213"/>
    <x v="10"/>
    <s v="sem"/>
    <m/>
    <m/>
    <m/>
    <m/>
    <m/>
    <m/>
    <m/>
    <m/>
    <m/>
    <n v="0"/>
    <n v="0"/>
    <n v="0"/>
    <n v="0"/>
    <m/>
    <m/>
    <n v="0"/>
    <n v="0"/>
    <m/>
    <m/>
    <m/>
    <m/>
    <m/>
    <m/>
    <n v="489328.79"/>
    <n v="474930"/>
    <n v="489328.79"/>
    <n v="543.69865555555555"/>
    <n v="474930"/>
    <n v="527.70000000000005"/>
    <m/>
    <m/>
    <n v="0"/>
    <n v="0"/>
  </r>
  <r>
    <x v="10"/>
    <s v="Caddo Kiowa Technology Center                     "/>
    <n v="364946"/>
    <x v="10"/>
    <s v="sem"/>
    <m/>
    <m/>
    <m/>
    <m/>
    <m/>
    <m/>
    <m/>
    <m/>
    <m/>
    <n v="0"/>
    <n v="0"/>
    <n v="0"/>
    <n v="0"/>
    <m/>
    <m/>
    <n v="0"/>
    <n v="0"/>
    <m/>
    <m/>
    <m/>
    <m/>
    <m/>
    <m/>
    <n v="389053.5"/>
    <n v="383883"/>
    <n v="389053.5"/>
    <n v="432.28166666666669"/>
    <n v="383883"/>
    <n v="426.53666666666669"/>
    <m/>
    <m/>
    <n v="0"/>
    <n v="0"/>
  </r>
  <r>
    <x v="10"/>
    <s v="Central Technology Center                         "/>
    <n v="246017"/>
    <x v="10"/>
    <s v="sem"/>
    <m/>
    <m/>
    <m/>
    <m/>
    <m/>
    <m/>
    <m/>
    <m/>
    <m/>
    <n v="0"/>
    <n v="0"/>
    <n v="0"/>
    <n v="0"/>
    <m/>
    <m/>
    <n v="0"/>
    <n v="0"/>
    <m/>
    <m/>
    <m/>
    <m/>
    <m/>
    <m/>
    <n v="742077.04"/>
    <n v="774260"/>
    <n v="742077.04"/>
    <n v="824.53004444444446"/>
    <n v="774260"/>
    <n v="860.28888888888889"/>
    <m/>
    <m/>
    <n v="0"/>
    <n v="0"/>
  </r>
  <r>
    <x v="10"/>
    <s v="Chisholm Trail Technology Center                  "/>
    <n v="375656"/>
    <x v="10"/>
    <s v="sem"/>
    <m/>
    <m/>
    <m/>
    <m/>
    <m/>
    <m/>
    <m/>
    <m/>
    <m/>
    <n v="0"/>
    <n v="0"/>
    <n v="0"/>
    <n v="0"/>
    <m/>
    <m/>
    <n v="0"/>
    <n v="0"/>
    <m/>
    <m/>
    <m/>
    <m/>
    <m/>
    <m/>
    <n v="78293.25"/>
    <n v="78196"/>
    <n v="78293.25"/>
    <n v="86.992500000000007"/>
    <n v="78196"/>
    <n v="86.884444444444441"/>
    <m/>
    <m/>
    <n v="0"/>
    <n v="0"/>
  </r>
  <r>
    <x v="10"/>
    <s v="Eastern Oklahoma County Technology Center         "/>
    <n v="418348"/>
    <x v="10"/>
    <s v="sem"/>
    <m/>
    <m/>
    <m/>
    <m/>
    <m/>
    <m/>
    <m/>
    <m/>
    <m/>
    <n v="0"/>
    <n v="0"/>
    <n v="0"/>
    <n v="0"/>
    <m/>
    <m/>
    <n v="0"/>
    <n v="0"/>
    <m/>
    <m/>
    <m/>
    <m/>
    <m/>
    <m/>
    <n v="346572.5"/>
    <n v="375453"/>
    <n v="346572.5"/>
    <n v="385.08055555555558"/>
    <n v="375453"/>
    <n v="417.17"/>
    <m/>
    <m/>
    <n v="0"/>
    <n v="0"/>
  </r>
  <r>
    <x v="10"/>
    <s v="Gordon Cooper Technology Center                   "/>
    <n v="375683"/>
    <x v="10"/>
    <s v="sem"/>
    <m/>
    <m/>
    <m/>
    <m/>
    <m/>
    <m/>
    <m/>
    <m/>
    <m/>
    <n v="0"/>
    <n v="0"/>
    <n v="0"/>
    <n v="0"/>
    <m/>
    <m/>
    <n v="0"/>
    <n v="0"/>
    <m/>
    <m/>
    <m/>
    <m/>
    <m/>
    <m/>
    <n v="638792.25"/>
    <n v="537252"/>
    <n v="638792.25"/>
    <n v="709.76916666666671"/>
    <n v="537252"/>
    <n v="596.94666666666672"/>
    <m/>
    <m/>
    <n v="0"/>
    <n v="0"/>
  </r>
  <r>
    <x v="10"/>
    <s v="Green Country Technology Center                   "/>
    <n v="428019"/>
    <x v="10"/>
    <s v="sem"/>
    <m/>
    <m/>
    <m/>
    <m/>
    <m/>
    <m/>
    <m/>
    <m/>
    <m/>
    <n v="0"/>
    <n v="0"/>
    <n v="0"/>
    <n v="0"/>
    <m/>
    <m/>
    <n v="0"/>
    <n v="0"/>
    <m/>
    <m/>
    <m/>
    <m/>
    <m/>
    <m/>
    <n v="209785"/>
    <n v="209413"/>
    <n v="209785"/>
    <n v="233.09444444444443"/>
    <n v="209413"/>
    <n v="232.68111111111111"/>
    <m/>
    <m/>
    <n v="0"/>
    <n v="0"/>
  </r>
  <r>
    <x v="10"/>
    <s v="High Plains Technology Center                     "/>
    <n v="208053"/>
    <x v="10"/>
    <s v="sem"/>
    <m/>
    <m/>
    <m/>
    <m/>
    <m/>
    <m/>
    <m/>
    <m/>
    <m/>
    <n v="0"/>
    <n v="0"/>
    <n v="0"/>
    <n v="0"/>
    <m/>
    <m/>
    <n v="0"/>
    <n v="0"/>
    <m/>
    <m/>
    <m/>
    <m/>
    <m/>
    <m/>
    <n v="278161.5"/>
    <n v="225215"/>
    <n v="278161.5"/>
    <n v="309.06833333333333"/>
    <n v="225215"/>
    <n v="250.23888888888888"/>
    <m/>
    <m/>
    <n v="0"/>
    <n v="0"/>
  </r>
  <r>
    <x v="10"/>
    <s v="Indian Capital Technology Center-Muskogee         "/>
    <n v="418296"/>
    <x v="10"/>
    <s v="sem"/>
    <m/>
    <m/>
    <m/>
    <m/>
    <m/>
    <m/>
    <m/>
    <m/>
    <m/>
    <n v="0"/>
    <n v="0"/>
    <n v="0"/>
    <n v="0"/>
    <m/>
    <m/>
    <n v="0"/>
    <n v="0"/>
    <m/>
    <m/>
    <m/>
    <m/>
    <m/>
    <m/>
    <n v="530796"/>
    <n v="502138"/>
    <n v="530796"/>
    <n v="589.77333333333331"/>
    <n v="502138"/>
    <n v="557.93111111111114"/>
    <m/>
    <m/>
    <n v="0"/>
    <n v="0"/>
  </r>
  <r>
    <x v="10"/>
    <s v="Indian Capital Technology Center-Sallisaw         "/>
    <n v="421540"/>
    <x v="10"/>
    <s v="sem"/>
    <m/>
    <m/>
    <m/>
    <m/>
    <m/>
    <m/>
    <m/>
    <m/>
    <m/>
    <n v="0"/>
    <n v="0"/>
    <n v="0"/>
    <n v="0"/>
    <m/>
    <m/>
    <n v="0"/>
    <n v="0"/>
    <m/>
    <m/>
    <m/>
    <m/>
    <m/>
    <m/>
    <n v="176953.5"/>
    <n v="162028"/>
    <n v="176953.5"/>
    <n v="196.61500000000001"/>
    <n v="162028"/>
    <n v="180.0311111111111"/>
    <m/>
    <m/>
    <n v="0"/>
    <n v="0"/>
  </r>
  <r>
    <x v="10"/>
    <s v="Indian Capital Technology Center-Stilwell         "/>
    <n v="421559"/>
    <x v="10"/>
    <s v="sem"/>
    <m/>
    <m/>
    <m/>
    <m/>
    <m/>
    <m/>
    <m/>
    <m/>
    <m/>
    <n v="0"/>
    <n v="0"/>
    <n v="0"/>
    <n v="0"/>
    <m/>
    <m/>
    <n v="0"/>
    <n v="0"/>
    <m/>
    <m/>
    <m/>
    <m/>
    <m/>
    <m/>
    <n v="96409.75"/>
    <n v="102296"/>
    <n v="96409.75"/>
    <n v="107.12194444444444"/>
    <n v="102296"/>
    <n v="113.66222222222223"/>
    <m/>
    <m/>
    <n v="0"/>
    <n v="0"/>
  </r>
  <r>
    <x v="10"/>
    <s v="Indian Capital Technology Center-Tahlequah        "/>
    <n v="208026"/>
    <x v="10"/>
    <s v="sem"/>
    <m/>
    <m/>
    <m/>
    <m/>
    <m/>
    <m/>
    <m/>
    <m/>
    <m/>
    <n v="0"/>
    <n v="0"/>
    <n v="0"/>
    <n v="0"/>
    <m/>
    <m/>
    <n v="0"/>
    <n v="0"/>
    <m/>
    <m/>
    <m/>
    <m/>
    <m/>
    <m/>
    <n v="193509.75"/>
    <n v="245947"/>
    <n v="193509.75"/>
    <n v="215.01083333333332"/>
    <n v="245947"/>
    <n v="273.27444444444444"/>
    <m/>
    <m/>
    <n v="0"/>
    <n v="0"/>
  </r>
  <r>
    <x v="10"/>
    <s v="Kiamichi Technology Center-Atoka                  "/>
    <n v="375692"/>
    <x v="10"/>
    <s v="sem"/>
    <m/>
    <m/>
    <m/>
    <m/>
    <m/>
    <m/>
    <m/>
    <m/>
    <m/>
    <n v="0"/>
    <n v="0"/>
    <n v="0"/>
    <n v="0"/>
    <m/>
    <m/>
    <n v="0"/>
    <n v="0"/>
    <m/>
    <m/>
    <m/>
    <m/>
    <m/>
    <m/>
    <n v="138150"/>
    <n v="158591"/>
    <n v="138150"/>
    <n v="153.5"/>
    <n v="158591"/>
    <n v="176.21222222222221"/>
    <m/>
    <m/>
    <n v="0"/>
    <n v="0"/>
  </r>
  <r>
    <x v="10"/>
    <s v="Kiamichi Technology Center-Durant                 "/>
    <n v="375708"/>
    <x v="10"/>
    <s v="sem"/>
    <m/>
    <m/>
    <m/>
    <m/>
    <m/>
    <m/>
    <m/>
    <m/>
    <m/>
    <n v="0"/>
    <n v="0"/>
    <n v="0"/>
    <n v="0"/>
    <m/>
    <m/>
    <n v="0"/>
    <n v="0"/>
    <m/>
    <m/>
    <m/>
    <m/>
    <m/>
    <m/>
    <n v="268212.71999999997"/>
    <n v="213990"/>
    <n v="268212.71999999997"/>
    <n v="298.01413333333329"/>
    <n v="213990"/>
    <n v="237.76666666666668"/>
    <m/>
    <m/>
    <n v="0"/>
    <n v="0"/>
  </r>
  <r>
    <x v="10"/>
    <s v="Kiamichi Technology Center-Hugo                   "/>
    <n v="375717"/>
    <x v="10"/>
    <s v="sem"/>
    <m/>
    <m/>
    <m/>
    <m/>
    <m/>
    <m/>
    <m/>
    <m/>
    <m/>
    <n v="0"/>
    <n v="0"/>
    <n v="0"/>
    <n v="0"/>
    <m/>
    <m/>
    <n v="0"/>
    <n v="0"/>
    <m/>
    <m/>
    <m/>
    <m/>
    <m/>
    <m/>
    <n v="164520.5"/>
    <n v="181295"/>
    <n v="164520.5"/>
    <n v="182.80055555555555"/>
    <n v="181295"/>
    <n v="201.4388888888889"/>
    <m/>
    <m/>
    <n v="0"/>
    <n v="0"/>
  </r>
  <r>
    <x v="10"/>
    <s v="Kiamichi Technology Center-Idabel                 "/>
    <n v="375735"/>
    <x v="10"/>
    <s v="sem"/>
    <m/>
    <m/>
    <m/>
    <m/>
    <m/>
    <m/>
    <m/>
    <m/>
    <m/>
    <n v="0"/>
    <n v="0"/>
    <n v="0"/>
    <n v="0"/>
    <m/>
    <m/>
    <n v="0"/>
    <n v="0"/>
    <m/>
    <m/>
    <m/>
    <m/>
    <m/>
    <m/>
    <n v="218790.5"/>
    <n v="210291"/>
    <n v="218790.5"/>
    <n v="243.10055555555556"/>
    <n v="210291"/>
    <n v="233.65666666666667"/>
    <m/>
    <m/>
    <n v="0"/>
    <n v="0"/>
  </r>
  <r>
    <x v="10"/>
    <s v="Kiamichi Technology Center-McAlester              "/>
    <n v="375726"/>
    <x v="10"/>
    <s v="sem"/>
    <m/>
    <m/>
    <m/>
    <m/>
    <m/>
    <m/>
    <m/>
    <m/>
    <m/>
    <n v="0"/>
    <n v="0"/>
    <n v="0"/>
    <n v="0"/>
    <m/>
    <m/>
    <n v="0"/>
    <n v="0"/>
    <m/>
    <m/>
    <m/>
    <m/>
    <m/>
    <m/>
    <n v="283243"/>
    <n v="294008"/>
    <n v="283243"/>
    <n v="314.71444444444444"/>
    <n v="294008"/>
    <n v="326.67555555555555"/>
    <m/>
    <m/>
    <n v="0"/>
    <n v="0"/>
  </r>
  <r>
    <x v="10"/>
    <s v="Kiamichi Technology Center-Poteau                 "/>
    <n v="375744"/>
    <x v="10"/>
    <s v="sem"/>
    <m/>
    <m/>
    <m/>
    <m/>
    <m/>
    <m/>
    <m/>
    <m/>
    <m/>
    <n v="0"/>
    <n v="0"/>
    <n v="0"/>
    <n v="0"/>
    <m/>
    <m/>
    <n v="0"/>
    <n v="0"/>
    <m/>
    <m/>
    <m/>
    <m/>
    <m/>
    <m/>
    <n v="299304"/>
    <n v="298643"/>
    <n v="299304"/>
    <n v="332.56"/>
    <n v="298643"/>
    <n v="331.82555555555558"/>
    <m/>
    <m/>
    <n v="0"/>
    <n v="0"/>
  </r>
  <r>
    <x v="10"/>
    <s v="Kiamichi Technology Center-Spiro                  "/>
    <n v="375753"/>
    <x v="10"/>
    <s v="sem"/>
    <m/>
    <m/>
    <m/>
    <m/>
    <m/>
    <m/>
    <m/>
    <m/>
    <m/>
    <n v="0"/>
    <n v="0"/>
    <n v="0"/>
    <n v="0"/>
    <m/>
    <m/>
    <n v="0"/>
    <n v="0"/>
    <m/>
    <m/>
    <m/>
    <m/>
    <m/>
    <m/>
    <n v="32781"/>
    <n v="30123"/>
    <n v="32781"/>
    <n v="36.423333333333332"/>
    <n v="30123"/>
    <n v="33.47"/>
    <m/>
    <m/>
    <n v="0"/>
    <n v="0"/>
  </r>
  <r>
    <x v="10"/>
    <s v="Kiamichi Technology Center-Stigler                "/>
    <n v="405748"/>
    <x v="10"/>
    <s v="sem"/>
    <m/>
    <m/>
    <m/>
    <m/>
    <m/>
    <m/>
    <m/>
    <m/>
    <m/>
    <n v="0"/>
    <n v="0"/>
    <n v="0"/>
    <n v="0"/>
    <m/>
    <m/>
    <n v="0"/>
    <n v="0"/>
    <m/>
    <m/>
    <m/>
    <m/>
    <m/>
    <m/>
    <n v="82830.25"/>
    <n v="78162"/>
    <n v="82830.25"/>
    <n v="92.033611111111114"/>
    <n v="78162"/>
    <n v="86.846666666666664"/>
    <m/>
    <m/>
    <n v="0"/>
    <n v="0"/>
  </r>
  <r>
    <x v="10"/>
    <s v="Kiamichi Technology Center-Talihina               "/>
    <n v="375762"/>
    <x v="10"/>
    <s v="sem"/>
    <m/>
    <m/>
    <m/>
    <m/>
    <m/>
    <m/>
    <m/>
    <m/>
    <m/>
    <n v="0"/>
    <n v="0"/>
    <n v="0"/>
    <n v="0"/>
    <m/>
    <m/>
    <n v="0"/>
    <n v="0"/>
    <m/>
    <m/>
    <m/>
    <m/>
    <m/>
    <m/>
    <n v="111498"/>
    <n v="70666"/>
    <n v="111498"/>
    <n v="123.88666666666667"/>
    <n v="70666"/>
    <n v="78.517777777777781"/>
    <m/>
    <m/>
    <n v="0"/>
    <n v="0"/>
  </r>
  <r>
    <x v="10"/>
    <s v="Meridian Technology Center                        "/>
    <n v="365480"/>
    <x v="10"/>
    <s v="sem"/>
    <m/>
    <m/>
    <m/>
    <m/>
    <m/>
    <m/>
    <m/>
    <m/>
    <m/>
    <n v="0"/>
    <n v="0"/>
    <n v="0"/>
    <n v="0"/>
    <m/>
    <m/>
    <n v="0"/>
    <n v="0"/>
    <m/>
    <m/>
    <m/>
    <m/>
    <m/>
    <m/>
    <n v="471353.1"/>
    <n v="453593"/>
    <n v="471353.1"/>
    <n v="523.7256666666666"/>
    <n v="453593"/>
    <n v="503.99222222222221"/>
    <m/>
    <m/>
    <n v="0"/>
    <n v="0"/>
  </r>
  <r>
    <x v="10"/>
    <s v="Mid-America Technology Center                     "/>
    <n v="418320"/>
    <x v="10"/>
    <s v="sem"/>
    <m/>
    <m/>
    <m/>
    <m/>
    <m/>
    <m/>
    <m/>
    <m/>
    <m/>
    <n v="0"/>
    <n v="0"/>
    <n v="0"/>
    <n v="0"/>
    <m/>
    <m/>
    <n v="0"/>
    <n v="0"/>
    <m/>
    <m/>
    <m/>
    <m/>
    <m/>
    <m/>
    <n v="448166.75"/>
    <n v="476364"/>
    <n v="448166.75"/>
    <n v="497.96305555555557"/>
    <n v="476364"/>
    <n v="529.29333333333329"/>
    <m/>
    <m/>
    <n v="0"/>
    <n v="0"/>
  </r>
  <r>
    <x v="10"/>
    <s v="Mid-Del Technology Center                         "/>
    <n v="431017"/>
    <x v="10"/>
    <s v="sem"/>
    <m/>
    <m/>
    <m/>
    <m/>
    <m/>
    <m/>
    <m/>
    <m/>
    <m/>
    <n v="0"/>
    <n v="0"/>
    <n v="0"/>
    <n v="0"/>
    <m/>
    <m/>
    <n v="0"/>
    <n v="0"/>
    <m/>
    <m/>
    <m/>
    <m/>
    <m/>
    <m/>
    <n v="466376.75"/>
    <n v="454187"/>
    <n v="466376.75"/>
    <n v="518.19638888888892"/>
    <n v="454187"/>
    <n v="504.65222222222224"/>
    <m/>
    <m/>
    <n v="0"/>
    <n v="0"/>
  </r>
  <r>
    <x v="10"/>
    <s v="Moore Norman Technology Center                    "/>
    <n v="248606"/>
    <x v="10"/>
    <s v="sem"/>
    <m/>
    <m/>
    <m/>
    <m/>
    <m/>
    <m/>
    <m/>
    <m/>
    <m/>
    <n v="0"/>
    <n v="0"/>
    <n v="0"/>
    <n v="0"/>
    <m/>
    <m/>
    <n v="0"/>
    <n v="0"/>
    <m/>
    <m/>
    <m/>
    <m/>
    <m/>
    <m/>
    <n v="882600.57"/>
    <n v="897460"/>
    <n v="882600.57"/>
    <n v="980.66729999999995"/>
    <n v="897460"/>
    <n v="997.17777777777781"/>
    <m/>
    <m/>
    <n v="0"/>
    <n v="0"/>
  </r>
  <r>
    <x v="10"/>
    <s v="Northeast Technology Center-Afton                 "/>
    <n v="420459"/>
    <x v="10"/>
    <s v="sem"/>
    <m/>
    <m/>
    <m/>
    <m/>
    <m/>
    <m/>
    <m/>
    <m/>
    <m/>
    <n v="0"/>
    <n v="0"/>
    <n v="0"/>
    <n v="0"/>
    <m/>
    <m/>
    <n v="0"/>
    <n v="0"/>
    <m/>
    <m/>
    <m/>
    <m/>
    <m/>
    <m/>
    <n v="352445.25"/>
    <n v="329985"/>
    <n v="352445.25"/>
    <n v="391.60583333333335"/>
    <n v="329985"/>
    <n v="366.65"/>
    <m/>
    <m/>
    <n v="0"/>
    <n v="0"/>
  </r>
  <r>
    <x v="10"/>
    <s v="Northeast Technology Center-Kansas                "/>
    <n v="432074"/>
    <x v="10"/>
    <s v="sem"/>
    <m/>
    <m/>
    <m/>
    <m/>
    <m/>
    <m/>
    <m/>
    <m/>
    <m/>
    <n v="0"/>
    <n v="0"/>
    <n v="0"/>
    <n v="0"/>
    <m/>
    <m/>
    <n v="0"/>
    <n v="0"/>
    <m/>
    <m/>
    <m/>
    <m/>
    <m/>
    <m/>
    <n v="136361.45000000001"/>
    <n v="156208"/>
    <n v="136361.45000000001"/>
    <n v="151.51272222222224"/>
    <n v="156208"/>
    <n v="173.56444444444443"/>
    <m/>
    <m/>
    <n v="0"/>
    <n v="0"/>
  </r>
  <r>
    <x v="10"/>
    <s v="Northeast Technology Center-Pryor                 "/>
    <n v="418339"/>
    <x v="10"/>
    <s v="sem"/>
    <m/>
    <m/>
    <m/>
    <m/>
    <m/>
    <m/>
    <m/>
    <m/>
    <m/>
    <n v="0"/>
    <n v="0"/>
    <n v="0"/>
    <n v="0"/>
    <m/>
    <m/>
    <n v="0"/>
    <n v="0"/>
    <m/>
    <m/>
    <m/>
    <m/>
    <m/>
    <m/>
    <n v="401717.25"/>
    <n v="346486"/>
    <n v="401717.25"/>
    <n v="446.35250000000002"/>
    <n v="346486"/>
    <n v="384.98444444444442"/>
    <m/>
    <m/>
    <n v="0"/>
    <n v="0"/>
  </r>
  <r>
    <x v="10"/>
    <s v="Northwest Technology Center-Alva                  "/>
    <n v="366623"/>
    <x v="10"/>
    <s v="sem"/>
    <m/>
    <m/>
    <m/>
    <m/>
    <m/>
    <m/>
    <m/>
    <m/>
    <m/>
    <n v="0"/>
    <n v="0"/>
    <n v="0"/>
    <n v="0"/>
    <m/>
    <m/>
    <n v="0"/>
    <n v="0"/>
    <m/>
    <m/>
    <m/>
    <m/>
    <m/>
    <m/>
    <n v="87422.5"/>
    <n v="81614"/>
    <n v="87422.5"/>
    <n v="97.136111111111106"/>
    <n v="81614"/>
    <n v="90.682222222222222"/>
    <m/>
    <m/>
    <n v="0"/>
    <n v="0"/>
  </r>
  <r>
    <x v="10"/>
    <s v="Northwest Technology Center-Fairview              "/>
    <n v="407601"/>
    <x v="10"/>
    <s v="sem"/>
    <m/>
    <m/>
    <m/>
    <m/>
    <m/>
    <m/>
    <m/>
    <m/>
    <m/>
    <n v="0"/>
    <n v="0"/>
    <n v="0"/>
    <n v="0"/>
    <m/>
    <m/>
    <n v="0"/>
    <n v="0"/>
    <m/>
    <m/>
    <m/>
    <m/>
    <m/>
    <m/>
    <n v="79562"/>
    <n v="75418"/>
    <n v="79562"/>
    <n v="88.402222222222221"/>
    <n v="75418"/>
    <n v="83.797777777777782"/>
    <m/>
    <m/>
    <n v="0"/>
    <n v="0"/>
  </r>
  <r>
    <x v="10"/>
    <s v="Pioneer Technology Center                         "/>
    <n v="364627"/>
    <x v="10"/>
    <s v="sem"/>
    <m/>
    <m/>
    <m/>
    <m/>
    <m/>
    <m/>
    <m/>
    <m/>
    <m/>
    <n v="0"/>
    <n v="0"/>
    <n v="0"/>
    <n v="0"/>
    <m/>
    <m/>
    <n v="0"/>
    <n v="0"/>
    <m/>
    <m/>
    <m/>
    <m/>
    <m/>
    <m/>
    <n v="308258.5"/>
    <n v="286670"/>
    <n v="308258.5"/>
    <n v="342.50944444444445"/>
    <n v="286670"/>
    <n v="318.52222222222224"/>
    <m/>
    <m/>
    <n v="0"/>
    <n v="0"/>
  </r>
  <r>
    <x v="10"/>
    <s v="Pontotoc Technology Center                        "/>
    <n v="206905"/>
    <x v="10"/>
    <s v="sem"/>
    <m/>
    <m/>
    <m/>
    <m/>
    <m/>
    <m/>
    <m/>
    <m/>
    <m/>
    <n v="0"/>
    <n v="0"/>
    <n v="0"/>
    <n v="0"/>
    <m/>
    <m/>
    <n v="0"/>
    <n v="0"/>
    <m/>
    <m/>
    <m/>
    <m/>
    <m/>
    <m/>
    <n v="227996.65"/>
    <n v="230493"/>
    <n v="227996.65"/>
    <n v="253.32961111111109"/>
    <n v="230493"/>
    <n v="256.10333333333335"/>
    <m/>
    <m/>
    <n v="0"/>
    <n v="0"/>
  </r>
  <r>
    <x v="10"/>
    <s v="Red River Technology Center                       "/>
    <n v="250993"/>
    <x v="10"/>
    <s v="sem"/>
    <m/>
    <m/>
    <m/>
    <m/>
    <m/>
    <m/>
    <m/>
    <m/>
    <m/>
    <n v="0"/>
    <n v="0"/>
    <n v="0"/>
    <n v="0"/>
    <m/>
    <m/>
    <n v="0"/>
    <n v="0"/>
    <m/>
    <m/>
    <m/>
    <m/>
    <m/>
    <m/>
    <n v="282972.75"/>
    <n v="290646"/>
    <n v="282972.75"/>
    <n v="314.41416666666669"/>
    <n v="290646"/>
    <n v="322.94"/>
    <m/>
    <m/>
    <n v="0"/>
    <n v="0"/>
  </r>
  <r>
    <x v="10"/>
    <s v="Southern Oklahoma Technology Center               "/>
    <n v="365198"/>
    <x v="10"/>
    <s v="sem"/>
    <m/>
    <m/>
    <m/>
    <m/>
    <m/>
    <m/>
    <m/>
    <m/>
    <m/>
    <n v="0"/>
    <n v="0"/>
    <n v="0"/>
    <n v="0"/>
    <m/>
    <m/>
    <n v="0"/>
    <n v="0"/>
    <m/>
    <m/>
    <m/>
    <m/>
    <m/>
    <m/>
    <n v="344932"/>
    <n v="330854"/>
    <n v="344932"/>
    <n v="383.25777777777779"/>
    <n v="330854"/>
    <n v="367.61555555555555"/>
    <m/>
    <m/>
    <n v="0"/>
    <n v="0"/>
  </r>
  <r>
    <x v="10"/>
    <s v="Southwest Technology Center                       "/>
    <n v="368364"/>
    <x v="10"/>
    <s v="sem"/>
    <m/>
    <m/>
    <m/>
    <m/>
    <m/>
    <m/>
    <m/>
    <m/>
    <m/>
    <n v="0"/>
    <n v="0"/>
    <n v="0"/>
    <n v="0"/>
    <m/>
    <m/>
    <n v="0"/>
    <n v="0"/>
    <m/>
    <m/>
    <m/>
    <m/>
    <m/>
    <m/>
    <n v="180908.98"/>
    <n v="198319"/>
    <n v="180908.98"/>
    <n v="201.00997777777778"/>
    <n v="198319"/>
    <n v="220.35444444444445"/>
    <m/>
    <m/>
    <n v="0"/>
    <n v="0"/>
  </r>
  <r>
    <x v="10"/>
    <s v="Tri County Technology Center                      "/>
    <n v="418287"/>
    <x v="10"/>
    <s v="sem"/>
    <m/>
    <m/>
    <m/>
    <m/>
    <m/>
    <m/>
    <m/>
    <m/>
    <m/>
    <n v="0"/>
    <n v="0"/>
    <n v="0"/>
    <n v="0"/>
    <m/>
    <m/>
    <n v="0"/>
    <n v="0"/>
    <m/>
    <m/>
    <m/>
    <m/>
    <m/>
    <m/>
    <n v="392395.8"/>
    <n v="404434"/>
    <n v="392395.8"/>
    <n v="435.99533333333329"/>
    <n v="404434"/>
    <n v="449.37111111111113"/>
    <m/>
    <m/>
    <n v="0"/>
    <n v="0"/>
  </r>
  <r>
    <x v="10"/>
    <s v="Tulsa County Area Voc Tech School Dist 18-Peoria  "/>
    <n v="207607"/>
    <x v="10"/>
    <s v="sem"/>
    <m/>
    <m/>
    <m/>
    <m/>
    <m/>
    <m/>
    <m/>
    <m/>
    <m/>
    <n v="0"/>
    <n v="0"/>
    <n v="0"/>
    <n v="0"/>
    <m/>
    <m/>
    <n v="0"/>
    <n v="0"/>
    <m/>
    <m/>
    <m/>
    <m/>
    <m/>
    <m/>
    <n v="374840.25"/>
    <n v="404180"/>
    <n v="374840.25"/>
    <n v="416.48916666666668"/>
    <n v="404180"/>
    <n v="449.0888888888889"/>
    <m/>
    <m/>
    <n v="0"/>
    <n v="0"/>
  </r>
  <r>
    <x v="10"/>
    <s v="Tulsa Technology Center-Lemley Campus             "/>
    <n v="261375"/>
    <x v="10"/>
    <s v="sem"/>
    <m/>
    <m/>
    <m/>
    <m/>
    <m/>
    <m/>
    <m/>
    <m/>
    <m/>
    <n v="0"/>
    <n v="0"/>
    <n v="0"/>
    <n v="0"/>
    <m/>
    <m/>
    <n v="0"/>
    <n v="0"/>
    <m/>
    <m/>
    <m/>
    <m/>
    <m/>
    <m/>
    <n v="772305.5"/>
    <n v="717091"/>
    <n v="772305.5"/>
    <n v="858.11722222222227"/>
    <n v="717091"/>
    <n v="796.76777777777772"/>
    <m/>
    <m/>
    <n v="0"/>
    <n v="0"/>
  </r>
  <r>
    <x v="10"/>
    <s v="Tulsa Technology Center-Riverside Campus          "/>
    <n v="261384"/>
    <x v="10"/>
    <s v="sem"/>
    <m/>
    <m/>
    <m/>
    <m/>
    <m/>
    <m/>
    <m/>
    <m/>
    <m/>
    <n v="0"/>
    <n v="0"/>
    <n v="0"/>
    <n v="0"/>
    <m/>
    <m/>
    <n v="0"/>
    <n v="0"/>
    <m/>
    <m/>
    <m/>
    <m/>
    <m/>
    <m/>
    <n v="386058.75"/>
    <n v="373497"/>
    <n v="386058.75"/>
    <n v="428.95416666666665"/>
    <n v="373497"/>
    <n v="414.99666666666667"/>
    <m/>
    <m/>
    <n v="0"/>
    <n v="0"/>
  </r>
  <r>
    <x v="10"/>
    <s v="Wes Watkins Technology Center                     "/>
    <n v="418357"/>
    <x v="10"/>
    <s v="sem"/>
    <m/>
    <m/>
    <m/>
    <m/>
    <m/>
    <m/>
    <m/>
    <m/>
    <m/>
    <n v="0"/>
    <n v="0"/>
    <n v="0"/>
    <n v="0"/>
    <m/>
    <m/>
    <n v="0"/>
    <n v="0"/>
    <m/>
    <m/>
    <m/>
    <m/>
    <m/>
    <m/>
    <n v="181083.75"/>
    <n v="165237"/>
    <n v="181083.75"/>
    <n v="201.20416666666668"/>
    <n v="165237"/>
    <n v="183.59666666666666"/>
    <m/>
    <m/>
    <n v="0"/>
    <n v="0"/>
  </r>
  <r>
    <x v="10"/>
    <s v="Western Technology Center                         "/>
    <n v="418302"/>
    <x v="10"/>
    <s v="sem"/>
    <m/>
    <m/>
    <m/>
    <m/>
    <m/>
    <m/>
    <m/>
    <m/>
    <m/>
    <n v="0"/>
    <n v="0"/>
    <n v="0"/>
    <n v="0"/>
    <m/>
    <m/>
    <n v="0"/>
    <n v="0"/>
    <m/>
    <m/>
    <m/>
    <m/>
    <m/>
    <m/>
    <n v="339272.54"/>
    <n v="348394"/>
    <n v="339272.54"/>
    <n v="376.96948888888886"/>
    <n v="348394"/>
    <n v="387.10444444444443"/>
    <m/>
    <m/>
    <n v="0"/>
    <n v="0"/>
  </r>
  <r>
    <x v="10"/>
    <s v="Indian Capital……..All Campuses"/>
    <m/>
    <x v="10"/>
    <s v="sem"/>
    <m/>
    <m/>
    <m/>
    <m/>
    <m/>
    <m/>
    <m/>
    <m/>
    <m/>
    <n v="0"/>
    <n v="0"/>
    <n v="0"/>
    <n v="0"/>
    <m/>
    <m/>
    <n v="0"/>
    <n v="0"/>
    <m/>
    <m/>
    <m/>
    <m/>
    <m/>
    <m/>
    <n v="1275830.5"/>
    <n v="1237624"/>
    <n v="1275830.5"/>
    <n v="1417.5894444444446"/>
    <n v="1237624"/>
    <n v="1375.1377777777777"/>
    <m/>
    <m/>
    <n v="0"/>
    <n v="0"/>
  </r>
  <r>
    <x v="10"/>
    <s v="Kiamichi………All Campuses"/>
    <m/>
    <x v="10"/>
    <s v="sem"/>
    <m/>
    <m/>
    <m/>
    <m/>
    <m/>
    <m/>
    <m/>
    <m/>
    <m/>
    <n v="0"/>
    <n v="0"/>
    <n v="0"/>
    <n v="0"/>
    <m/>
    <m/>
    <n v="0"/>
    <n v="0"/>
    <m/>
    <m/>
    <m/>
    <m/>
    <m/>
    <m/>
    <n v="1599329.97"/>
    <n v="1535769"/>
    <n v="1599329.97"/>
    <n v="1777.0333000000001"/>
    <n v="1535769"/>
    <n v="1706.41"/>
    <m/>
    <m/>
    <n v="0"/>
    <n v="0"/>
  </r>
  <r>
    <x v="10"/>
    <s v="Northeast………..All Campuses"/>
    <m/>
    <x v="10"/>
    <s v="sem"/>
    <m/>
    <m/>
    <m/>
    <m/>
    <m/>
    <m/>
    <m/>
    <m/>
    <m/>
    <n v="0"/>
    <n v="0"/>
    <n v="0"/>
    <n v="0"/>
    <m/>
    <m/>
    <n v="0"/>
    <n v="0"/>
    <m/>
    <m/>
    <m/>
    <m/>
    <m/>
    <m/>
    <n v="890523.95"/>
    <n v="832679"/>
    <n v="890523.95"/>
    <n v="989.47105555555549"/>
    <n v="832679"/>
    <n v="925.19888888888886"/>
    <m/>
    <m/>
    <n v="0"/>
    <n v="0"/>
  </r>
  <r>
    <x v="10"/>
    <s v="Northwest………..All Campuses"/>
    <m/>
    <x v="10"/>
    <s v="sem"/>
    <m/>
    <m/>
    <m/>
    <m/>
    <m/>
    <m/>
    <m/>
    <m/>
    <m/>
    <n v="0"/>
    <n v="0"/>
    <n v="0"/>
    <n v="0"/>
    <m/>
    <m/>
    <n v="0"/>
    <n v="0"/>
    <m/>
    <m/>
    <m/>
    <m/>
    <m/>
    <m/>
    <n v="166984.5"/>
    <n v="157032"/>
    <n v="166984.5"/>
    <n v="185.53833333333333"/>
    <n v="157032"/>
    <n v="174.48"/>
    <m/>
    <m/>
    <n v="0"/>
    <n v="0"/>
  </r>
  <r>
    <x v="10"/>
    <s v="Tulsa County Dist 18………..All Campuses"/>
    <m/>
    <x v="10"/>
    <s v="sem"/>
    <m/>
    <m/>
    <m/>
    <m/>
    <m/>
    <m/>
    <m/>
    <m/>
    <m/>
    <n v="0"/>
    <n v="0"/>
    <n v="0"/>
    <n v="0"/>
    <m/>
    <m/>
    <n v="0"/>
    <n v="0"/>
    <m/>
    <m/>
    <m/>
    <m/>
    <m/>
    <m/>
    <n v="1347029.85"/>
    <n v="1347029.85"/>
    <n v="1347029.85"/>
    <n v="1496.6998333333333"/>
    <n v="1347029.85"/>
    <n v="1496.6998333333333"/>
    <m/>
    <m/>
    <n v="0"/>
    <n v="0"/>
  </r>
  <r>
    <x v="10"/>
    <s v="Northeast Technology Center-Claremore"/>
    <s v="NEW"/>
    <x v="13"/>
    <s v="sem"/>
    <m/>
    <m/>
    <m/>
    <m/>
    <m/>
    <m/>
    <m/>
    <m/>
    <m/>
    <n v="0"/>
    <n v="0"/>
    <n v="0"/>
    <n v="0"/>
    <m/>
    <m/>
    <n v="0"/>
    <n v="0"/>
    <m/>
    <m/>
    <m/>
    <m/>
    <m/>
    <m/>
    <m/>
    <m/>
    <n v="0"/>
    <n v="0"/>
    <n v="0"/>
    <n v="0"/>
    <m/>
    <m/>
    <n v="0"/>
    <n v="0"/>
  </r>
  <r>
    <x v="11"/>
    <s v="Clemson University"/>
    <n v="217882"/>
    <x v="0"/>
    <s v="sem"/>
    <m/>
    <m/>
    <m/>
    <n v="194911"/>
    <n v="201488"/>
    <n v="27069"/>
    <n v="25277"/>
    <n v="219442"/>
    <n v="229594"/>
    <n v="441422"/>
    <n v="14714.066666666668"/>
    <n v="456359"/>
    <n v="15211.966666666667"/>
    <m/>
    <m/>
    <n v="0"/>
    <n v="0"/>
    <m/>
    <m/>
    <m/>
    <m/>
    <m/>
    <m/>
    <m/>
    <m/>
    <n v="0"/>
    <n v="0"/>
    <n v="0"/>
    <n v="0"/>
    <m/>
    <m/>
    <n v="0"/>
    <n v="0"/>
  </r>
  <r>
    <x v="11"/>
    <s v="University of South Carolina-Columbia"/>
    <n v="218663"/>
    <x v="0"/>
    <s v="sem"/>
    <m/>
    <m/>
    <m/>
    <n v="257902"/>
    <n v="273654"/>
    <n v="29156"/>
    <n v="28126"/>
    <n v="290459"/>
    <n v="300521"/>
    <n v="577517"/>
    <n v="19250.566666666666"/>
    <n v="602301"/>
    <n v="20076.7"/>
    <n v="88"/>
    <n v="158"/>
    <n v="577517"/>
    <n v="602301"/>
    <m/>
    <m/>
    <m/>
    <m/>
    <m/>
    <m/>
    <m/>
    <m/>
    <n v="0"/>
    <n v="0"/>
    <n v="0"/>
    <n v="0"/>
    <m/>
    <m/>
    <n v="0"/>
    <n v="0"/>
  </r>
  <r>
    <x v="11"/>
    <s v="College of Charleston"/>
    <n v="217819"/>
    <x v="2"/>
    <s v="sem"/>
    <m/>
    <m/>
    <m/>
    <n v="131350"/>
    <n v="132430"/>
    <n v="14310"/>
    <n v="12739"/>
    <n v="138079"/>
    <n v="144192"/>
    <n v="283739"/>
    <n v="9457.9666666666672"/>
    <n v="289361"/>
    <n v="9645.3666666666668"/>
    <m/>
    <n v="315"/>
    <n v="0"/>
    <n v="289361"/>
    <m/>
    <m/>
    <m/>
    <m/>
    <m/>
    <m/>
    <m/>
    <m/>
    <n v="0"/>
    <n v="0"/>
    <n v="0"/>
    <n v="0"/>
    <m/>
    <m/>
    <n v="0"/>
    <n v="0"/>
  </r>
  <r>
    <x v="11"/>
    <s v="Winthrop University "/>
    <n v="218964"/>
    <x v="2"/>
    <s v="sem"/>
    <m/>
    <m/>
    <m/>
    <n v="66170"/>
    <n v="66275"/>
    <n v="6745"/>
    <n v="6624"/>
    <n v="71720.5"/>
    <n v="71048"/>
    <n v="144635.5"/>
    <n v="4821.1833333333334"/>
    <n v="143947"/>
    <n v="4798.2333333333336"/>
    <n v="1066"/>
    <n v="1371"/>
    <n v="144635.5"/>
    <n v="143947"/>
    <m/>
    <m/>
    <m/>
    <m/>
    <m/>
    <m/>
    <m/>
    <m/>
    <n v="0"/>
    <n v="0"/>
    <n v="0"/>
    <n v="0"/>
    <m/>
    <m/>
    <n v="0"/>
    <n v="0"/>
  </r>
  <r>
    <x v="11"/>
    <s v="The Citadel, the Military College of South Carolina "/>
    <n v="217864"/>
    <x v="3"/>
    <s v="sem"/>
    <m/>
    <m/>
    <m/>
    <n v="36405"/>
    <n v="37367"/>
    <n v="5704"/>
    <n v="5298"/>
    <n v="39478"/>
    <n v="40909"/>
    <n v="81587"/>
    <n v="2719.5666666666666"/>
    <n v="83574"/>
    <n v="2785.8"/>
    <n v="167"/>
    <n v="203"/>
    <n v="81587"/>
    <n v="83574"/>
    <m/>
    <m/>
    <m/>
    <m/>
    <m/>
    <m/>
    <m/>
    <m/>
    <n v="0"/>
    <n v="0"/>
    <n v="0"/>
    <n v="0"/>
    <m/>
    <m/>
    <n v="0"/>
    <n v="0"/>
  </r>
  <r>
    <x v="11"/>
    <s v="Coastal Carolina University"/>
    <n v="218724"/>
    <x v="4"/>
    <s v="sem"/>
    <m/>
    <m/>
    <m/>
    <n v="93211"/>
    <n v="98347"/>
    <n v="9512"/>
    <n v="9417"/>
    <n v="110338"/>
    <n v="114734"/>
    <n v="213061"/>
    <n v="7102.0333333333338"/>
    <n v="222498"/>
    <n v="7416.6"/>
    <n v="366"/>
    <n v="524"/>
    <n v="213061"/>
    <n v="222498"/>
    <m/>
    <m/>
    <m/>
    <m/>
    <m/>
    <m/>
    <m/>
    <m/>
    <n v="0"/>
    <n v="0"/>
    <n v="0"/>
    <n v="0"/>
    <m/>
    <m/>
    <n v="0"/>
    <n v="0"/>
  </r>
  <r>
    <x v="11"/>
    <s v="Francis Marion University "/>
    <n v="218061"/>
    <x v="4"/>
    <s v="sem"/>
    <m/>
    <m/>
    <m/>
    <n v="42609"/>
    <n v="43833"/>
    <n v="5054"/>
    <n v="4659"/>
    <n v="47479"/>
    <n v="50145"/>
    <n v="95142"/>
    <n v="3171.4"/>
    <n v="98637"/>
    <n v="3287.9"/>
    <n v="483"/>
    <n v="422"/>
    <n v="95142"/>
    <n v="98637"/>
    <m/>
    <m/>
    <m/>
    <m/>
    <m/>
    <m/>
    <m/>
    <m/>
    <n v="0"/>
    <n v="0"/>
    <n v="0"/>
    <n v="0"/>
    <m/>
    <m/>
    <n v="0"/>
    <n v="0"/>
  </r>
  <r>
    <x v="11"/>
    <s v="Lander University"/>
    <n v="218229"/>
    <x v="5"/>
    <s v="sem"/>
    <m/>
    <m/>
    <m/>
    <n v="30259.5"/>
    <n v="32853"/>
    <n v="3825"/>
    <n v="3830"/>
    <n v="35078"/>
    <n v="39417"/>
    <n v="69162.5"/>
    <n v="2305.4166666666665"/>
    <n v="76100"/>
    <n v="2536.6666666666665"/>
    <n v="215"/>
    <n v="162"/>
    <n v="69162.5"/>
    <n v="76100"/>
    <m/>
    <m/>
    <m/>
    <m/>
    <m/>
    <m/>
    <m/>
    <m/>
    <n v="0"/>
    <n v="0"/>
    <n v="0"/>
    <n v="0"/>
    <m/>
    <m/>
    <n v="0"/>
    <n v="0"/>
  </r>
  <r>
    <x v="11"/>
    <s v="South Carolina State University "/>
    <n v="218733"/>
    <x v="4"/>
    <s v="sem"/>
    <m/>
    <m/>
    <m/>
    <n v="58657"/>
    <n v="55390"/>
    <n v="7531"/>
    <n v="7080"/>
    <n v="59286"/>
    <n v="56156"/>
    <n v="125474"/>
    <n v="4182.4666666666662"/>
    <n v="118626"/>
    <n v="3954.2"/>
    <n v="156"/>
    <n v="27"/>
    <n v="125474"/>
    <n v="118626"/>
    <m/>
    <m/>
    <m/>
    <m/>
    <m/>
    <m/>
    <m/>
    <m/>
    <n v="0"/>
    <n v="0"/>
    <n v="0"/>
    <n v="0"/>
    <m/>
    <m/>
    <n v="0"/>
    <n v="0"/>
  </r>
  <r>
    <x v="11"/>
    <s v="University of South Carolina-Aiken"/>
    <n v="218645"/>
    <x v="5"/>
    <s v="sem"/>
    <m/>
    <m/>
    <m/>
    <n v="36699"/>
    <n v="36364"/>
    <n v="4664"/>
    <n v="4509"/>
    <n v="40140"/>
    <n v="41466"/>
    <n v="81503"/>
    <n v="2716.7666666666669"/>
    <n v="82339"/>
    <n v="2744.6333333333332"/>
    <n v="1113"/>
    <n v="945"/>
    <n v="81503"/>
    <n v="82339"/>
    <m/>
    <m/>
    <m/>
    <m/>
    <m/>
    <m/>
    <m/>
    <m/>
    <n v="0"/>
    <n v="0"/>
    <n v="0"/>
    <n v="0"/>
    <m/>
    <m/>
    <n v="0"/>
    <n v="0"/>
  </r>
  <r>
    <x v="11"/>
    <s v="University of South Carolina-Upstate"/>
    <n v="218742"/>
    <x v="5"/>
    <s v="sem"/>
    <m/>
    <m/>
    <m/>
    <n v="61034"/>
    <n v="62983"/>
    <n v="8209"/>
    <n v="7583"/>
    <n v="67814"/>
    <n v="72035"/>
    <n v="137057"/>
    <n v="4568.5666666666666"/>
    <n v="142601"/>
    <n v="4753.3666666666668"/>
    <n v="739"/>
    <n v="1298"/>
    <n v="137057"/>
    <n v="142601"/>
    <m/>
    <m/>
    <m/>
    <m/>
    <m/>
    <m/>
    <m/>
    <m/>
    <n v="0"/>
    <n v="0"/>
    <n v="0"/>
    <n v="0"/>
    <m/>
    <m/>
    <n v="0"/>
    <n v="0"/>
  </r>
  <r>
    <x v="11"/>
    <s v="University of South Carolina-Beaufort"/>
    <n v="218654"/>
    <x v="5"/>
    <s v="sem"/>
    <m/>
    <m/>
    <m/>
    <n v="15338"/>
    <n v="17387"/>
    <n v="2454"/>
    <n v="2446"/>
    <n v="17859"/>
    <n v="21628"/>
    <n v="35651"/>
    <n v="1188.3666666666666"/>
    <n v="41461"/>
    <n v="1382.0333333333333"/>
    <n v="332"/>
    <n v="28"/>
    <n v="35651"/>
    <n v="41461"/>
    <m/>
    <m/>
    <m/>
    <m/>
    <m/>
    <m/>
    <m/>
    <m/>
    <n v="0"/>
    <n v="0"/>
    <n v="0"/>
    <n v="0"/>
    <m/>
    <m/>
    <n v="0"/>
    <n v="0"/>
  </r>
  <r>
    <x v="11"/>
    <s v="Greenville Technical College "/>
    <n v="218113"/>
    <x v="6"/>
    <s v="sem"/>
    <m/>
    <m/>
    <m/>
    <n v="127396.35"/>
    <n v="131816"/>
    <n v="48058.9"/>
    <n v="56867"/>
    <n v="151098.14000000001"/>
    <n v="159037"/>
    <n v="326553.39"/>
    <n v="10885.113000000001"/>
    <n v="347720"/>
    <n v="11590.666666666666"/>
    <n v="4846"/>
    <n v="6985"/>
    <n v="326553.39"/>
    <n v="347720"/>
    <m/>
    <m/>
    <m/>
    <m/>
    <m/>
    <m/>
    <m/>
    <m/>
    <n v="0"/>
    <n v="0"/>
    <n v="0"/>
    <n v="0"/>
    <m/>
    <m/>
    <n v="0"/>
    <n v="0"/>
  </r>
  <r>
    <x v="11"/>
    <s v="Midlands Technical College "/>
    <n v="218353"/>
    <x v="6"/>
    <s v="sem"/>
    <m/>
    <m/>
    <m/>
    <n v="104410.07"/>
    <n v="111470"/>
    <n v="41868.949999999997"/>
    <n v="48523"/>
    <n v="118218.87"/>
    <n v="128926"/>
    <n v="264497.89"/>
    <n v="8816.596333333333"/>
    <n v="288919"/>
    <n v="9630.6333333333332"/>
    <n v="1663"/>
    <n v="2045"/>
    <n v="264497.89"/>
    <n v="288919"/>
    <m/>
    <m/>
    <m/>
    <m/>
    <m/>
    <m/>
    <m/>
    <m/>
    <n v="0"/>
    <n v="0"/>
    <n v="0"/>
    <n v="0"/>
    <m/>
    <m/>
    <n v="0"/>
    <n v="0"/>
  </r>
  <r>
    <x v="11"/>
    <s v="Trident Technical College "/>
    <n v="218894"/>
    <x v="6"/>
    <s v="sem"/>
    <m/>
    <m/>
    <m/>
    <n v="113241.93"/>
    <n v="125408"/>
    <n v="45570.1"/>
    <n v="57742"/>
    <n v="128017.17"/>
    <n v="152202"/>
    <n v="286829.2"/>
    <n v="9560.9733333333334"/>
    <n v="335352"/>
    <n v="11178.4"/>
    <n v="5977"/>
    <n v="6668"/>
    <n v="286829.2"/>
    <n v="335352"/>
    <m/>
    <m/>
    <m/>
    <m/>
    <m/>
    <m/>
    <m/>
    <m/>
    <n v="0"/>
    <n v="0"/>
    <n v="0"/>
    <n v="0"/>
    <m/>
    <m/>
    <n v="0"/>
    <n v="0"/>
  </r>
  <r>
    <x v="11"/>
    <s v="Aiken Technical College "/>
    <n v="217615"/>
    <x v="7"/>
    <s v="sem"/>
    <m/>
    <m/>
    <m/>
    <n v="26679.67"/>
    <n v="29894"/>
    <n v="11818.4"/>
    <n v="13670"/>
    <n v="29641.65"/>
    <n v="34611"/>
    <n v="68139.72"/>
    <n v="2271.3240000000001"/>
    <n v="78175"/>
    <n v="2605.8333333333335"/>
    <n v="131"/>
    <n v="400"/>
    <n v="68139.72"/>
    <n v="78175"/>
    <m/>
    <m/>
    <m/>
    <m/>
    <m/>
    <m/>
    <m/>
    <m/>
    <n v="0"/>
    <n v="0"/>
    <n v="0"/>
    <n v="0"/>
    <m/>
    <m/>
    <n v="0"/>
    <n v="0"/>
  </r>
  <r>
    <x v="11"/>
    <s v="Central Carolina Technical College "/>
    <n v="218858"/>
    <x v="7"/>
    <s v="sem"/>
    <m/>
    <m/>
    <m/>
    <n v="29667.48"/>
    <n v="29456"/>
    <n v="12184.56"/>
    <n v="14090"/>
    <n v="30728.74"/>
    <n v="38666"/>
    <n v="72580.78"/>
    <n v="2419.3593333333333"/>
    <n v="82212"/>
    <n v="2740.4"/>
    <n v="3170"/>
    <n v="2660"/>
    <n v="72580.78"/>
    <n v="82212"/>
    <m/>
    <m/>
    <m/>
    <m/>
    <m/>
    <m/>
    <m/>
    <m/>
    <n v="0"/>
    <n v="0"/>
    <n v="0"/>
    <n v="0"/>
    <m/>
    <m/>
    <n v="0"/>
    <n v="0"/>
  </r>
  <r>
    <x v="11"/>
    <s v="Florence-Darlington Technical College "/>
    <n v="218025"/>
    <x v="7"/>
    <s v="sem"/>
    <m/>
    <m/>
    <m/>
    <n v="42200.79"/>
    <n v="48796"/>
    <n v="16454.919999999998"/>
    <n v="21485"/>
    <n v="49144.25"/>
    <n v="58942"/>
    <n v="107799.95999999999"/>
    <n v="3593.3319999999999"/>
    <n v="129223"/>
    <n v="4307.4333333333334"/>
    <n v="744"/>
    <n v="833"/>
    <n v="107799.95999999999"/>
    <n v="129223"/>
    <m/>
    <m/>
    <m/>
    <m/>
    <m/>
    <m/>
    <m/>
    <m/>
    <n v="0"/>
    <n v="0"/>
    <n v="0"/>
    <n v="0"/>
    <m/>
    <m/>
    <n v="0"/>
    <n v="0"/>
  </r>
  <r>
    <x v="11"/>
    <s v="Horry-Georgetown Technical College "/>
    <n v="218140"/>
    <x v="7"/>
    <s v="sem"/>
    <m/>
    <m/>
    <m/>
    <n v="54371.47"/>
    <n v="62502"/>
    <n v="19365.11"/>
    <n v="23166"/>
    <n v="59752.67"/>
    <n v="72314"/>
    <n v="133489.25"/>
    <n v="4449.6416666666664"/>
    <n v="157982"/>
    <n v="5266.0666666666666"/>
    <n v="2366"/>
    <n v="1936"/>
    <n v="133489.25"/>
    <n v="157982"/>
    <m/>
    <m/>
    <m/>
    <m/>
    <m/>
    <m/>
    <m/>
    <m/>
    <n v="0"/>
    <n v="0"/>
    <n v="0"/>
    <n v="0"/>
    <m/>
    <m/>
    <n v="0"/>
    <n v="0"/>
  </r>
  <r>
    <x v="11"/>
    <s v="Orangeburg-Calhoun Technical College"/>
    <n v="218487"/>
    <x v="7"/>
    <s v="sem"/>
    <m/>
    <m/>
    <m/>
    <n v="23247.19"/>
    <n v="27903"/>
    <n v="10059.17"/>
    <n v="11475"/>
    <n v="29056.79"/>
    <n v="33262"/>
    <n v="62363.15"/>
    <n v="2078.7716666666665"/>
    <n v="72640"/>
    <n v="2421.3333333333335"/>
    <n v="3561"/>
    <n v="4643"/>
    <n v="62363.15"/>
    <n v="72640"/>
    <m/>
    <m/>
    <m/>
    <m/>
    <m/>
    <m/>
    <m/>
    <m/>
    <n v="0"/>
    <n v="0"/>
    <n v="0"/>
    <n v="0"/>
    <m/>
    <m/>
    <n v="0"/>
    <n v="0"/>
  </r>
  <r>
    <x v="11"/>
    <s v="Piedmont Technical College "/>
    <n v="218520"/>
    <x v="7"/>
    <s v="sem"/>
    <m/>
    <m/>
    <m/>
    <n v="47232.11"/>
    <n v="52615"/>
    <n v="20808.52"/>
    <n v="25008"/>
    <n v="53255.92"/>
    <n v="60029"/>
    <n v="121296.55"/>
    <n v="4043.2183333333332"/>
    <n v="137652"/>
    <n v="4588.3999999999996"/>
    <n v="7361"/>
    <n v="8849"/>
    <n v="121296.55"/>
    <n v="137652"/>
    <m/>
    <m/>
    <m/>
    <m/>
    <m/>
    <m/>
    <m/>
    <m/>
    <n v="0"/>
    <n v="0"/>
    <n v="0"/>
    <n v="0"/>
    <m/>
    <m/>
    <n v="0"/>
    <n v="0"/>
  </r>
  <r>
    <x v="11"/>
    <s v="Spartanburg Community College "/>
    <n v="218830"/>
    <x v="7"/>
    <s v="sem"/>
    <m/>
    <m/>
    <m/>
    <n v="47186.6"/>
    <n v="50538"/>
    <n v="16579.330000000002"/>
    <n v="19354"/>
    <n v="50817.52"/>
    <n v="62001"/>
    <n v="114583.45"/>
    <n v="3819.4483333333333"/>
    <n v="131893"/>
    <n v="4396.4333333333334"/>
    <n v="539"/>
    <n v="2918"/>
    <n v="114583.45"/>
    <n v="131893"/>
    <m/>
    <m/>
    <m/>
    <m/>
    <m/>
    <m/>
    <m/>
    <m/>
    <n v="0"/>
    <n v="0"/>
    <n v="0"/>
    <n v="0"/>
    <m/>
    <m/>
    <n v="0"/>
    <n v="0"/>
  </r>
  <r>
    <x v="11"/>
    <s v="Tri-County Technical College "/>
    <n v="218885"/>
    <x v="7"/>
    <s v="sem"/>
    <m/>
    <m/>
    <m/>
    <n v="53297.39"/>
    <n v="59727"/>
    <n v="19922.189999999999"/>
    <n v="24212"/>
    <n v="65809.89"/>
    <n v="78043"/>
    <n v="139029.47"/>
    <n v="4634.3156666666664"/>
    <n v="161982"/>
    <n v="5399.4"/>
    <n v="7504"/>
    <n v="6319"/>
    <n v="139029.47"/>
    <n v="161982"/>
    <m/>
    <m/>
    <m/>
    <m/>
    <m/>
    <m/>
    <m/>
    <m/>
    <n v="0"/>
    <n v="0"/>
    <n v="0"/>
    <n v="0"/>
    <m/>
    <m/>
    <n v="0"/>
    <n v="0"/>
  </r>
  <r>
    <x v="11"/>
    <s v="York Technical College "/>
    <n v="218991"/>
    <x v="7"/>
    <s v="sem"/>
    <m/>
    <m/>
    <m/>
    <n v="46418.92"/>
    <n v="50612"/>
    <n v="21602.75"/>
    <n v="26285"/>
    <n v="54637.85"/>
    <n v="61855"/>
    <n v="122659.51999999999"/>
    <n v="4088.6506666666664"/>
    <n v="138752"/>
    <n v="4625.0666666666666"/>
    <n v="5594"/>
    <n v="6420"/>
    <n v="122659.51999999999"/>
    <n v="138752"/>
    <m/>
    <m/>
    <m/>
    <m/>
    <m/>
    <m/>
    <m/>
    <m/>
    <n v="0"/>
    <n v="0"/>
    <n v="0"/>
    <n v="0"/>
    <m/>
    <m/>
    <n v="0"/>
    <n v="0"/>
  </r>
  <r>
    <x v="11"/>
    <s v="Denmark Technical College "/>
    <n v="217989"/>
    <x v="8"/>
    <s v="sem"/>
    <m/>
    <m/>
    <m/>
    <n v="15040.77"/>
    <n v="17827"/>
    <n v="3587.27"/>
    <n v="4925"/>
    <n v="19149.560000000001"/>
    <n v="15731"/>
    <n v="37777.600000000006"/>
    <n v="1259.2533333333336"/>
    <n v="38483"/>
    <n v="1282.7666666666667"/>
    <n v="741"/>
    <n v="2"/>
    <n v="37777.600000000006"/>
    <n v="38483"/>
    <m/>
    <m/>
    <m/>
    <m/>
    <m/>
    <m/>
    <m/>
    <m/>
    <n v="0"/>
    <n v="0"/>
    <n v="0"/>
    <n v="0"/>
    <m/>
    <m/>
    <n v="0"/>
    <n v="0"/>
  </r>
  <r>
    <x v="11"/>
    <s v="Northeastern Technical College"/>
    <n v="217837"/>
    <x v="8"/>
    <s v="sem"/>
    <m/>
    <m/>
    <m/>
    <n v="9290.5400000000009"/>
    <n v="10216"/>
    <n v="5077.67"/>
    <n v="5965"/>
    <n v="11295.65"/>
    <n v="11209"/>
    <n v="25663.86"/>
    <n v="855.46199999999999"/>
    <n v="27390"/>
    <n v="913"/>
    <n v="557"/>
    <n v="894"/>
    <n v="25663.86"/>
    <n v="27390"/>
    <m/>
    <m/>
    <m/>
    <m/>
    <m/>
    <m/>
    <m/>
    <m/>
    <n v="0"/>
    <n v="0"/>
    <n v="0"/>
    <n v="0"/>
    <m/>
    <m/>
    <n v="0"/>
    <n v="0"/>
  </r>
  <r>
    <x v="11"/>
    <s v="Technical College of the Low Country"/>
    <n v="217712"/>
    <x v="8"/>
    <s v="sem"/>
    <m/>
    <m/>
    <m/>
    <n v="17323.27"/>
    <n v="20925"/>
    <n v="7570.6"/>
    <n v="8476"/>
    <n v="20877.580000000002"/>
    <n v="25652"/>
    <n v="45771.450000000004"/>
    <n v="1525.7150000000001"/>
    <n v="55053"/>
    <n v="1835.1"/>
    <n v="2767"/>
    <n v="2124"/>
    <n v="45771.450000000004"/>
    <n v="55053"/>
    <m/>
    <m/>
    <m/>
    <m/>
    <m/>
    <m/>
    <m/>
    <m/>
    <n v="0"/>
    <n v="0"/>
    <n v="0"/>
    <n v="0"/>
    <m/>
    <m/>
    <n v="0"/>
    <n v="0"/>
  </r>
  <r>
    <x v="11"/>
    <s v="University of South Carolina-Lancaster"/>
    <n v="218672"/>
    <x v="8"/>
    <s v="sem"/>
    <m/>
    <m/>
    <m/>
    <n v="12818"/>
    <n v="13912"/>
    <n v="1749"/>
    <n v="1931"/>
    <n v="16184"/>
    <n v="16104"/>
    <n v="30751"/>
    <n v="1025.0333333333333"/>
    <n v="31947"/>
    <n v="1064.9000000000001"/>
    <n v="2642"/>
    <n v="2520"/>
    <n v="30751"/>
    <n v="31947"/>
    <m/>
    <m/>
    <m/>
    <m/>
    <m/>
    <m/>
    <m/>
    <m/>
    <n v="0"/>
    <n v="0"/>
    <n v="0"/>
    <n v="0"/>
    <m/>
    <m/>
    <n v="0"/>
    <n v="0"/>
  </r>
  <r>
    <x v="11"/>
    <s v="University of South Carolina-Salkehatchie"/>
    <n v="218681"/>
    <x v="8"/>
    <s v="sem"/>
    <m/>
    <m/>
    <m/>
    <n v="7979"/>
    <n v="8076"/>
    <n v="944"/>
    <n v="933"/>
    <n v="9332"/>
    <n v="9655"/>
    <n v="18255"/>
    <n v="608.5"/>
    <n v="18664"/>
    <n v="622.13333333333333"/>
    <n v="1230"/>
    <n v="1106"/>
    <n v="18255"/>
    <n v="18664"/>
    <m/>
    <m/>
    <m/>
    <m/>
    <m/>
    <m/>
    <m/>
    <m/>
    <n v="0"/>
    <n v="0"/>
    <n v="0"/>
    <n v="0"/>
    <m/>
    <m/>
    <n v="0"/>
    <n v="0"/>
  </r>
  <r>
    <x v="11"/>
    <s v="University of South Carolina-Sumter"/>
    <n v="218690"/>
    <x v="8"/>
    <s v="sem"/>
    <m/>
    <m/>
    <m/>
    <n v="11492"/>
    <n v="11388"/>
    <n v="1591"/>
    <n v="1386"/>
    <n v="13020"/>
    <n v="13300"/>
    <n v="26103"/>
    <n v="870.1"/>
    <n v="26074"/>
    <n v="869.13333333333333"/>
    <n v="2203"/>
    <n v="3093"/>
    <n v="26103"/>
    <n v="26074"/>
    <m/>
    <m/>
    <m/>
    <m/>
    <m/>
    <m/>
    <m/>
    <m/>
    <n v="0"/>
    <n v="0"/>
    <n v="0"/>
    <n v="0"/>
    <m/>
    <m/>
    <n v="0"/>
    <n v="0"/>
  </r>
  <r>
    <x v="11"/>
    <s v="University of South Carolina-Union"/>
    <n v="218706"/>
    <x v="8"/>
    <s v="sem"/>
    <m/>
    <m/>
    <m/>
    <n v="3832"/>
    <n v="3852"/>
    <n v="482"/>
    <n v="551"/>
    <n v="3723"/>
    <n v="4973"/>
    <n v="8037"/>
    <n v="267.89999999999998"/>
    <n v="9376"/>
    <n v="312.53333333333336"/>
    <n v="1922"/>
    <n v="2184"/>
    <n v="8037"/>
    <n v="9376"/>
    <m/>
    <m/>
    <m/>
    <m/>
    <m/>
    <m/>
    <m/>
    <m/>
    <n v="0"/>
    <n v="0"/>
    <n v="0"/>
    <n v="0"/>
    <m/>
    <m/>
    <n v="0"/>
    <n v="0"/>
  </r>
  <r>
    <x v="11"/>
    <s v="Willamsburg Technical College "/>
    <n v="218955"/>
    <x v="8"/>
    <s v="sem"/>
    <m/>
    <m/>
    <m/>
    <n v="5228.26"/>
    <n v="6222"/>
    <n v="3205.54"/>
    <n v="3377"/>
    <n v="6429.28"/>
    <n v="7415"/>
    <n v="14863.079999999998"/>
    <n v="495.43599999999992"/>
    <n v="17014"/>
    <n v="567.13333333333333"/>
    <n v="809"/>
    <n v="774"/>
    <n v="14863.079999999998"/>
    <n v="17014"/>
    <m/>
    <m/>
    <m/>
    <m/>
    <m/>
    <m/>
    <m/>
    <m/>
    <n v="0"/>
    <n v="0"/>
    <n v="0"/>
    <n v="0"/>
    <m/>
    <m/>
    <n v="0"/>
    <n v="0"/>
  </r>
  <r>
    <x v="12"/>
    <s v="University of Memphis"/>
    <n v="220862"/>
    <x v="0"/>
    <s v="sem"/>
    <s v="sem"/>
    <m/>
    <m/>
    <n v="176816"/>
    <n v="183409"/>
    <n v="29438"/>
    <n v="28087"/>
    <n v="194725"/>
    <n v="204299"/>
    <n v="400979"/>
    <n v="13365.966666666667"/>
    <n v="415795"/>
    <n v="13859.833333333334"/>
    <n v="2163"/>
    <n v="2798"/>
    <n v="400979"/>
    <n v="415795"/>
    <m/>
    <m/>
    <m/>
    <m/>
    <m/>
    <m/>
    <m/>
    <m/>
    <n v="0"/>
    <n v="0"/>
    <n v="0"/>
    <n v="0"/>
    <m/>
    <m/>
    <n v="0"/>
    <n v="0"/>
  </r>
  <r>
    <x v="12"/>
    <s v="University of Tennessee, Knoxville"/>
    <n v="221759"/>
    <x v="0"/>
    <s v="sem"/>
    <s v="sem"/>
    <m/>
    <m/>
    <n v="279645"/>
    <n v="284467"/>
    <n v="35190"/>
    <n v="34034"/>
    <n v="306235"/>
    <n v="296219"/>
    <n v="621070"/>
    <n v="20702.333333333332"/>
    <n v="614720"/>
    <n v="20490.666666666668"/>
    <n v="837"/>
    <n v="262"/>
    <n v="621070"/>
    <n v="614720"/>
    <m/>
    <m/>
    <m/>
    <m/>
    <m/>
    <m/>
    <m/>
    <m/>
    <n v="0"/>
    <n v="0"/>
    <n v="0"/>
    <n v="0"/>
    <m/>
    <m/>
    <n v="0"/>
    <n v="0"/>
  </r>
  <r>
    <x v="12"/>
    <s v="East Tennessee State University "/>
    <n v="220075"/>
    <x v="2"/>
    <s v="sem"/>
    <s v="sem"/>
    <m/>
    <m/>
    <n v="128373"/>
    <n v="133688"/>
    <n v="22086"/>
    <n v="22786"/>
    <n v="144891"/>
    <n v="153124"/>
    <n v="295350"/>
    <n v="9845"/>
    <n v="309598"/>
    <n v="10319.933333333332"/>
    <n v="1280"/>
    <n v="1382"/>
    <n v="295350"/>
    <n v="309598"/>
    <m/>
    <m/>
    <m/>
    <m/>
    <m/>
    <m/>
    <m/>
    <m/>
    <n v="0"/>
    <n v="0"/>
    <n v="0"/>
    <n v="0"/>
    <m/>
    <m/>
    <n v="0"/>
    <n v="0"/>
  </r>
  <r>
    <x v="12"/>
    <s v="Middle Tennessee State University "/>
    <n v="220978"/>
    <x v="2"/>
    <s v="sem"/>
    <s v="sem"/>
    <m/>
    <m/>
    <n v="250712"/>
    <n v="258527"/>
    <n v="41456"/>
    <n v="42199"/>
    <n v="280002"/>
    <n v="291858"/>
    <n v="572170"/>
    <n v="19072.333333333332"/>
    <n v="592584"/>
    <n v="19752.8"/>
    <n v="1463"/>
    <n v="1579"/>
    <n v="572170"/>
    <n v="592584"/>
    <m/>
    <m/>
    <m/>
    <m/>
    <m/>
    <m/>
    <m/>
    <m/>
    <n v="0"/>
    <n v="0"/>
    <n v="0"/>
    <n v="0"/>
    <m/>
    <m/>
    <n v="0"/>
    <n v="0"/>
  </r>
  <r>
    <x v="12"/>
    <s v="Tennessee State University "/>
    <n v="221838"/>
    <x v="2"/>
    <s v="sem"/>
    <s v="sem"/>
    <m/>
    <m/>
    <n v="87569"/>
    <n v="79915"/>
    <n v="9895"/>
    <n v="10151"/>
    <n v="84732"/>
    <n v="87718"/>
    <n v="182196"/>
    <n v="6073.2"/>
    <n v="177784"/>
    <n v="5926.1333333333332"/>
    <n v="0"/>
    <n v="0"/>
    <n v="182196"/>
    <n v="177784"/>
    <m/>
    <m/>
    <m/>
    <m/>
    <m/>
    <m/>
    <m/>
    <m/>
    <n v="0"/>
    <n v="0"/>
    <n v="0"/>
    <n v="0"/>
    <m/>
    <m/>
    <n v="0"/>
    <n v="0"/>
  </r>
  <r>
    <x v="12"/>
    <s v="Tennessee Technological University "/>
    <n v="221847"/>
    <x v="2"/>
    <s v="sem"/>
    <s v="sem"/>
    <m/>
    <m/>
    <n v="100323"/>
    <n v="104543"/>
    <n v="10467"/>
    <n v="10139"/>
    <n v="113274"/>
    <n v="121297"/>
    <n v="224064"/>
    <n v="7468.8"/>
    <n v="235979"/>
    <n v="7865.9666666666662"/>
    <n v="341"/>
    <n v="913"/>
    <n v="224064"/>
    <n v="235979"/>
    <m/>
    <m/>
    <m/>
    <m/>
    <m/>
    <m/>
    <m/>
    <m/>
    <n v="0"/>
    <n v="0"/>
    <n v="0"/>
    <n v="0"/>
    <m/>
    <m/>
    <n v="0"/>
    <n v="0"/>
  </r>
  <r>
    <x v="12"/>
    <s v="University of Tennessee at Chattanooga"/>
    <n v="221740"/>
    <x v="2"/>
    <s v="sem"/>
    <s v="sem"/>
    <m/>
    <m/>
    <n v="97708"/>
    <n v="102872"/>
    <n v="15424"/>
    <n v="14604"/>
    <n v="113440"/>
    <n v="122716"/>
    <n v="226572"/>
    <n v="7552.4"/>
    <n v="240192"/>
    <n v="8006.4"/>
    <n v="421"/>
    <n v="455"/>
    <n v="226572"/>
    <n v="240192"/>
    <m/>
    <m/>
    <m/>
    <m/>
    <m/>
    <m/>
    <m/>
    <m/>
    <n v="0"/>
    <n v="0"/>
    <n v="0"/>
    <n v="0"/>
    <m/>
    <m/>
    <n v="0"/>
    <n v="0"/>
  </r>
  <r>
    <x v="12"/>
    <s v="Austin Peay State University "/>
    <n v="219602"/>
    <x v="3"/>
    <s v="sem"/>
    <s v="sem"/>
    <m/>
    <m/>
    <n v="90711"/>
    <n v="92053"/>
    <n v="20505"/>
    <n v="18249"/>
    <n v="105826"/>
    <n v="112514"/>
    <n v="217042"/>
    <n v="7234.7333333333336"/>
    <n v="222816"/>
    <n v="7427.2"/>
    <n v="975"/>
    <n v="1469"/>
    <n v="217042"/>
    <n v="222816"/>
    <m/>
    <m/>
    <m/>
    <m/>
    <m/>
    <m/>
    <m/>
    <m/>
    <n v="0"/>
    <n v="0"/>
    <n v="0"/>
    <n v="0"/>
    <m/>
    <m/>
    <n v="0"/>
    <n v="0"/>
  </r>
  <r>
    <x v="12"/>
    <s v="University of Tennessee at Martin"/>
    <n v="221768"/>
    <x v="4"/>
    <s v="sem"/>
    <s v="sem"/>
    <m/>
    <m/>
    <n v="82532"/>
    <n v="85665"/>
    <n v="10712"/>
    <n v="11184"/>
    <n v="91420"/>
    <n v="96898"/>
    <n v="184664"/>
    <n v="6155.4666666666662"/>
    <n v="193747"/>
    <n v="6458.2333333333336"/>
    <n v="6044"/>
    <n v="6613"/>
    <n v="184664"/>
    <n v="193747"/>
    <m/>
    <m/>
    <m/>
    <m/>
    <m/>
    <m/>
    <m/>
    <m/>
    <n v="0"/>
    <n v="0"/>
    <n v="0"/>
    <n v="0"/>
    <m/>
    <m/>
    <n v="0"/>
    <n v="0"/>
  </r>
  <r>
    <x v="12"/>
    <s v="Chattanooga State Technical Community College "/>
    <n v="219824"/>
    <x v="6"/>
    <s v="sem"/>
    <s v="sem"/>
    <m/>
    <m/>
    <n v="66587"/>
    <n v="76909"/>
    <n v="13892"/>
    <n v="16208"/>
    <n v="80011"/>
    <n v="89809"/>
    <n v="160490"/>
    <n v="5349.666666666667"/>
    <n v="182926"/>
    <n v="6097.5333333333338"/>
    <n v="10495"/>
    <n v="10335"/>
    <n v="160490"/>
    <n v="182926"/>
    <m/>
    <m/>
    <m/>
    <m/>
    <m/>
    <m/>
    <m/>
    <m/>
    <n v="0"/>
    <n v="0"/>
    <n v="0"/>
    <n v="0"/>
    <m/>
    <m/>
    <n v="0"/>
    <n v="0"/>
  </r>
  <r>
    <x v="12"/>
    <s v="Pellissippi State Technical Community College"/>
    <n v="221643"/>
    <x v="6"/>
    <s v="sem"/>
    <s v="sem"/>
    <m/>
    <m/>
    <n v="78038"/>
    <n v="81902"/>
    <n v="19342"/>
    <n v="20427"/>
    <n v="85295"/>
    <n v="100428"/>
    <n v="182675"/>
    <n v="6089.166666666667"/>
    <n v="202757"/>
    <n v="6758.5666666666666"/>
    <n v="3523"/>
    <n v="4903"/>
    <n v="182675"/>
    <n v="202757"/>
    <m/>
    <m/>
    <m/>
    <m/>
    <m/>
    <m/>
    <m/>
    <m/>
    <n v="0"/>
    <n v="0"/>
    <n v="0"/>
    <n v="0"/>
    <m/>
    <m/>
    <n v="0"/>
    <n v="0"/>
  </r>
  <r>
    <x v="12"/>
    <s v="Southwest Tennessee Community College"/>
    <n v="221485"/>
    <x v="6"/>
    <s v="sem"/>
    <s v="sem"/>
    <m/>
    <m/>
    <n v="95628"/>
    <n v="105587"/>
    <n v="30543"/>
    <n v="35042"/>
    <n v="108283"/>
    <n v="126973"/>
    <n v="234454"/>
    <n v="7815.1333333333332"/>
    <n v="267602"/>
    <n v="8920.0666666666675"/>
    <n v="1173"/>
    <n v="1585"/>
    <n v="234454"/>
    <n v="267602"/>
    <m/>
    <m/>
    <m/>
    <m/>
    <m/>
    <m/>
    <m/>
    <m/>
    <n v="0"/>
    <n v="0"/>
    <n v="0"/>
    <n v="0"/>
    <m/>
    <m/>
    <n v="0"/>
    <n v="0"/>
  </r>
  <r>
    <x v="12"/>
    <s v="Cleveland State Community College "/>
    <n v="219879"/>
    <x v="7"/>
    <s v="sem"/>
    <s v="sem"/>
    <m/>
    <m/>
    <n v="28197"/>
    <n v="31042"/>
    <n v="5104"/>
    <n v="5298"/>
    <n v="32924"/>
    <n v="37564"/>
    <n v="66225"/>
    <n v="2207.5"/>
    <n v="73904"/>
    <n v="2463.4666666666667"/>
    <n v="2603"/>
    <n v="3358"/>
    <n v="66225"/>
    <n v="73904"/>
    <m/>
    <m/>
    <m/>
    <m/>
    <m/>
    <m/>
    <m/>
    <m/>
    <n v="0"/>
    <n v="0"/>
    <n v="0"/>
    <n v="0"/>
    <m/>
    <m/>
    <n v="0"/>
    <n v="0"/>
  </r>
  <r>
    <x v="12"/>
    <s v="Columbia State Community College "/>
    <n v="219888"/>
    <x v="7"/>
    <s v="sem"/>
    <s v="sem"/>
    <m/>
    <m/>
    <n v="40903"/>
    <n v="42495"/>
    <n v="8676"/>
    <n v="9295"/>
    <n v="46216"/>
    <n v="53531"/>
    <n v="95795"/>
    <n v="3193.1666666666665"/>
    <n v="105321"/>
    <n v="3510.7"/>
    <n v="3587"/>
    <n v="4237"/>
    <n v="95795"/>
    <n v="105321"/>
    <m/>
    <m/>
    <m/>
    <m/>
    <m/>
    <m/>
    <m/>
    <m/>
    <n v="0"/>
    <n v="0"/>
    <n v="0"/>
    <n v="0"/>
    <m/>
    <m/>
    <n v="0"/>
    <n v="0"/>
  </r>
  <r>
    <x v="12"/>
    <s v="Jackson State Community College "/>
    <n v="220400"/>
    <x v="7"/>
    <s v="sem"/>
    <s v="sem"/>
    <m/>
    <m/>
    <n v="39424"/>
    <n v="41865"/>
    <n v="10798"/>
    <n v="10622"/>
    <n v="42051"/>
    <n v="49693"/>
    <n v="92273"/>
    <n v="3075.7666666666669"/>
    <n v="102180"/>
    <n v="3406"/>
    <n v="2353"/>
    <n v="3917"/>
    <n v="92273"/>
    <n v="102180"/>
    <m/>
    <m/>
    <m/>
    <m/>
    <m/>
    <m/>
    <m/>
    <m/>
    <n v="0"/>
    <n v="0"/>
    <n v="0"/>
    <n v="0"/>
    <m/>
    <m/>
    <n v="0"/>
    <n v="0"/>
  </r>
  <r>
    <x v="12"/>
    <s v="Motlow State Community College "/>
    <n v="221096"/>
    <x v="7"/>
    <s v="sem"/>
    <s v="sem"/>
    <m/>
    <m/>
    <n v="39112"/>
    <n v="41691"/>
    <n v="6787"/>
    <n v="7621"/>
    <n v="43378"/>
    <n v="50300"/>
    <n v="89277"/>
    <n v="2975.9"/>
    <n v="99612"/>
    <n v="3320.4"/>
    <n v="2974"/>
    <n v="4385"/>
    <n v="89277"/>
    <n v="99612"/>
    <m/>
    <m/>
    <m/>
    <m/>
    <m/>
    <m/>
    <m/>
    <m/>
    <n v="0"/>
    <n v="0"/>
    <n v="0"/>
    <n v="0"/>
    <m/>
    <m/>
    <n v="0"/>
    <n v="0"/>
  </r>
  <r>
    <x v="12"/>
    <s v="Nashville State Technical Community College"/>
    <n v="221184"/>
    <x v="7"/>
    <s v="sem"/>
    <s v="sem"/>
    <m/>
    <m/>
    <n v="57887"/>
    <n v="67556"/>
    <n v="17138"/>
    <n v="20302"/>
    <n v="64723"/>
    <n v="77309"/>
    <n v="139748"/>
    <n v="4658.2666666666664"/>
    <n v="165167"/>
    <n v="5505.5666666666666"/>
    <n v="3651"/>
    <n v="4701"/>
    <n v="139748"/>
    <n v="165167"/>
    <m/>
    <m/>
    <m/>
    <m/>
    <m/>
    <m/>
    <m/>
    <m/>
    <n v="0"/>
    <n v="0"/>
    <n v="0"/>
    <n v="0"/>
    <m/>
    <m/>
    <n v="0"/>
    <n v="0"/>
  </r>
  <r>
    <x v="12"/>
    <s v="Northeast State Technical Community College"/>
    <n v="221908"/>
    <x v="7"/>
    <s v="sem"/>
    <s v="sem"/>
    <m/>
    <m/>
    <n v="46909"/>
    <n v="52062"/>
    <n v="10318"/>
    <n v="12208"/>
    <n v="54086"/>
    <n v="63466"/>
    <n v="111313"/>
    <n v="3710.4333333333334"/>
    <n v="127736"/>
    <n v="4257.8666666666668"/>
    <n v="2391"/>
    <n v="2765"/>
    <n v="111313"/>
    <n v="127736"/>
    <m/>
    <m/>
    <m/>
    <m/>
    <m/>
    <m/>
    <m/>
    <m/>
    <n v="0"/>
    <n v="0"/>
    <n v="0"/>
    <n v="0"/>
    <m/>
    <m/>
    <n v="0"/>
    <n v="0"/>
  </r>
  <r>
    <x v="12"/>
    <s v="Roane State Community College "/>
    <n v="221397"/>
    <x v="7"/>
    <s v="sem"/>
    <s v="sem"/>
    <m/>
    <m/>
    <n v="50491"/>
    <n v="53063"/>
    <n v="6892"/>
    <n v="7676"/>
    <n v="56492"/>
    <n v="63409"/>
    <n v="113875"/>
    <n v="3795.8333333333335"/>
    <n v="124148"/>
    <n v="4138.2666666666664"/>
    <n v="4113"/>
    <n v="6241"/>
    <n v="113875"/>
    <n v="124148"/>
    <m/>
    <m/>
    <m/>
    <m/>
    <m/>
    <m/>
    <m/>
    <m/>
    <n v="0"/>
    <n v="0"/>
    <n v="0"/>
    <n v="0"/>
    <m/>
    <m/>
    <n v="0"/>
    <n v="0"/>
  </r>
  <r>
    <x v="12"/>
    <s v="Volunteer State Community College "/>
    <n v="222053"/>
    <x v="7"/>
    <s v="sem"/>
    <s v="sem"/>
    <m/>
    <m/>
    <n v="59251"/>
    <n v="64318"/>
    <n v="15518"/>
    <n v="18398"/>
    <n v="68735"/>
    <n v="82521"/>
    <n v="143504"/>
    <n v="4783.4666666666662"/>
    <n v="165237"/>
    <n v="5507.9"/>
    <n v="8757"/>
    <n v="8823"/>
    <n v="143504"/>
    <n v="165237"/>
    <m/>
    <m/>
    <m/>
    <m/>
    <m/>
    <m/>
    <m/>
    <m/>
    <n v="0"/>
    <n v="0"/>
    <n v="0"/>
    <n v="0"/>
    <m/>
    <m/>
    <n v="0"/>
    <n v="0"/>
  </r>
  <r>
    <x v="12"/>
    <s v="Walters State Community College "/>
    <n v="222062"/>
    <x v="7"/>
    <s v="sem"/>
    <s v="sem"/>
    <m/>
    <m/>
    <n v="52942"/>
    <n v="57639"/>
    <n v="10613"/>
    <n v="10915"/>
    <n v="61230"/>
    <n v="71698"/>
    <n v="124785"/>
    <n v="4159.5"/>
    <n v="140252"/>
    <n v="4675.0666666666666"/>
    <n v="6394"/>
    <n v="6763"/>
    <n v="124785"/>
    <n v="140252"/>
    <m/>
    <m/>
    <m/>
    <m/>
    <s v=" "/>
    <m/>
    <m/>
    <m/>
    <n v="0"/>
    <n v="0"/>
    <n v="0"/>
    <n v="0"/>
    <m/>
    <m/>
    <n v="0"/>
    <n v="0"/>
  </r>
  <r>
    <x v="12"/>
    <s v="Dyersburg State Community College "/>
    <n v="220057"/>
    <x v="8"/>
    <s v="sem"/>
    <s v="sem"/>
    <m/>
    <m/>
    <n v="22096"/>
    <n v="24888"/>
    <n v="3333"/>
    <n v="3707"/>
    <n v="26113"/>
    <n v="33190"/>
    <n v="51542"/>
    <n v="1718.0666666666666"/>
    <n v="61785"/>
    <n v="2059.5"/>
    <n v="3629"/>
    <n v="3794"/>
    <n v="51542"/>
    <n v="61785"/>
    <m/>
    <m/>
    <m/>
    <m/>
    <m/>
    <m/>
    <m/>
    <m/>
    <n v="0"/>
    <n v="0"/>
    <n v="0"/>
    <n v="0"/>
    <m/>
    <m/>
    <n v="0"/>
    <n v="0"/>
  </r>
  <r>
    <x v="12"/>
    <s v="Tennessee Technology Center at Athens"/>
    <n v="219596"/>
    <x v="10"/>
    <s v="sem"/>
    <s v="sem"/>
    <m/>
    <m/>
    <m/>
    <m/>
    <m/>
    <m/>
    <m/>
    <m/>
    <n v="0"/>
    <n v="0"/>
    <n v="0"/>
    <n v="0"/>
    <m/>
    <m/>
    <n v="0"/>
    <n v="0"/>
    <m/>
    <m/>
    <n v="85116"/>
    <n v="88293"/>
    <n v="84080"/>
    <n v="81886"/>
    <n v="85132"/>
    <n v="95781"/>
    <n v="254328"/>
    <n v="282.58666666666664"/>
    <n v="265960"/>
    <n v="295.51111111111112"/>
    <m/>
    <m/>
    <n v="0"/>
    <n v="0"/>
  </r>
  <r>
    <x v="12"/>
    <s v="Tennessee Technology Center at Chattanooga"/>
    <s v="219824B"/>
    <x v="10"/>
    <s v="sem"/>
    <s v="sem"/>
    <m/>
    <m/>
    <m/>
    <m/>
    <m/>
    <m/>
    <m/>
    <m/>
    <n v="0"/>
    <n v="0"/>
    <n v="0"/>
    <n v="0"/>
    <m/>
    <m/>
    <n v="0"/>
    <n v="0"/>
    <m/>
    <m/>
    <n v="282622"/>
    <n v="350286"/>
    <n v="183284"/>
    <n v="216035"/>
    <n v="330503"/>
    <n v="363924"/>
    <n v="796409"/>
    <n v="884.89888888888891"/>
    <n v="930245"/>
    <n v="1033.6055555555556"/>
    <m/>
    <m/>
    <n v="0"/>
    <n v="0"/>
  </r>
  <r>
    <x v="12"/>
    <s v="Tennessee Technology Center at Covington"/>
    <n v="219921"/>
    <x v="10"/>
    <s v="sem"/>
    <s v="sem"/>
    <m/>
    <m/>
    <m/>
    <m/>
    <m/>
    <m/>
    <m/>
    <m/>
    <n v="0"/>
    <n v="0"/>
    <n v="0"/>
    <n v="0"/>
    <m/>
    <m/>
    <n v="0"/>
    <n v="0"/>
    <m/>
    <m/>
    <n v="50201"/>
    <n v="63157"/>
    <n v="45434"/>
    <n v="55808"/>
    <n v="65644"/>
    <n v="70760"/>
    <n v="161279"/>
    <n v="179.19888888888889"/>
    <n v="189725"/>
    <n v="210.80555555555554"/>
    <m/>
    <m/>
    <n v="0"/>
    <n v="0"/>
  </r>
  <r>
    <x v="12"/>
    <s v="Tennessee Technology Center at Crossville"/>
    <n v="221591"/>
    <x v="10"/>
    <s v="sem"/>
    <s v="sem"/>
    <m/>
    <m/>
    <m/>
    <m/>
    <m/>
    <m/>
    <m/>
    <m/>
    <n v="0"/>
    <n v="0"/>
    <n v="0"/>
    <n v="0"/>
    <m/>
    <m/>
    <n v="0"/>
    <n v="0"/>
    <m/>
    <m/>
    <n v="107793"/>
    <n v="146762"/>
    <n v="95938"/>
    <n v="139590"/>
    <n v="131254"/>
    <n v="142823"/>
    <n v="334985"/>
    <n v="372.20555555555558"/>
    <n v="429175"/>
    <n v="476.86111111111109"/>
    <m/>
    <m/>
    <n v="0"/>
    <n v="0"/>
  </r>
  <r>
    <x v="12"/>
    <s v="Tennessee Technology Center at Crump"/>
    <n v="221430"/>
    <x v="10"/>
    <s v="sem"/>
    <s v="sem"/>
    <m/>
    <m/>
    <m/>
    <m/>
    <m/>
    <m/>
    <m/>
    <m/>
    <n v="0"/>
    <n v="0"/>
    <n v="0"/>
    <n v="0"/>
    <m/>
    <m/>
    <n v="0"/>
    <n v="0"/>
    <m/>
    <m/>
    <n v="77807"/>
    <n v="82549"/>
    <n v="70438"/>
    <n v="78804"/>
    <n v="84087"/>
    <n v="108907"/>
    <n v="232332"/>
    <n v="258.14666666666665"/>
    <n v="270260"/>
    <n v="300.28888888888889"/>
    <m/>
    <m/>
    <n v="0"/>
    <n v="0"/>
  </r>
  <r>
    <x v="12"/>
    <s v="Tennessee Technology Center at Dickson"/>
    <n v="219994"/>
    <x v="10"/>
    <s v="sem"/>
    <s v="sem"/>
    <m/>
    <m/>
    <m/>
    <m/>
    <m/>
    <m/>
    <m/>
    <m/>
    <n v="0"/>
    <n v="0"/>
    <n v="0"/>
    <n v="0"/>
    <m/>
    <m/>
    <n v="0"/>
    <n v="0"/>
    <m/>
    <m/>
    <n v="145228"/>
    <n v="166202"/>
    <n v="143510"/>
    <n v="158361"/>
    <n v="166274"/>
    <n v="197881"/>
    <n v="455012"/>
    <n v="505.56888888888886"/>
    <n v="522444"/>
    <n v="580.49333333333334"/>
    <m/>
    <m/>
    <n v="0"/>
    <n v="0"/>
  </r>
  <r>
    <x v="12"/>
    <s v="Tennessee Technology Center at Elizabethton"/>
    <n v="220127"/>
    <x v="10"/>
    <s v="sem"/>
    <s v="sem"/>
    <m/>
    <m/>
    <m/>
    <m/>
    <m/>
    <m/>
    <m/>
    <m/>
    <n v="0"/>
    <n v="0"/>
    <n v="0"/>
    <n v="0"/>
    <m/>
    <m/>
    <n v="0"/>
    <n v="0"/>
    <m/>
    <m/>
    <n v="162439"/>
    <n v="160450"/>
    <n v="153363"/>
    <n v="157416"/>
    <n v="154189"/>
    <n v="182091"/>
    <n v="469991"/>
    <n v="522.21222222222218"/>
    <n v="499957"/>
    <n v="555.50777777777773"/>
    <m/>
    <m/>
    <n v="0"/>
    <n v="0"/>
  </r>
  <r>
    <x v="12"/>
    <s v="Tennessee Technology Center at Harriman"/>
    <n v="220251"/>
    <x v="10"/>
    <s v="sem"/>
    <s v="sem"/>
    <m/>
    <m/>
    <m/>
    <m/>
    <m/>
    <m/>
    <m/>
    <m/>
    <n v="0"/>
    <n v="0"/>
    <n v="0"/>
    <n v="0"/>
    <m/>
    <m/>
    <n v="0"/>
    <n v="0"/>
    <m/>
    <m/>
    <n v="63627"/>
    <n v="85877"/>
    <n v="67253"/>
    <n v="92873"/>
    <n v="93494"/>
    <n v="116239"/>
    <n v="224374"/>
    <n v="249.30444444444444"/>
    <n v="294989"/>
    <n v="327.76555555555558"/>
    <m/>
    <m/>
    <n v="0"/>
    <n v="0"/>
  </r>
  <r>
    <x v="12"/>
    <s v="Tennessee Technology Center at Hartsville"/>
    <n v="220279"/>
    <x v="10"/>
    <s v="sem"/>
    <s v="sem"/>
    <m/>
    <m/>
    <m/>
    <m/>
    <m/>
    <m/>
    <m/>
    <m/>
    <n v="0"/>
    <n v="0"/>
    <n v="0"/>
    <n v="0"/>
    <m/>
    <m/>
    <n v="0"/>
    <n v="0"/>
    <m/>
    <m/>
    <n v="72841"/>
    <n v="124316"/>
    <n v="75756"/>
    <n v="116097"/>
    <n v="119218"/>
    <n v="142930"/>
    <n v="267815"/>
    <n v="297.57222222222219"/>
    <n v="383343"/>
    <n v="425.93666666666667"/>
    <m/>
    <m/>
    <n v="0"/>
    <n v="0"/>
  </r>
  <r>
    <x v="12"/>
    <s v="Tennessee Technology Center at Hohenwald"/>
    <n v="220321"/>
    <x v="10"/>
    <s v="sem"/>
    <s v="sem"/>
    <m/>
    <m/>
    <m/>
    <m/>
    <m/>
    <m/>
    <m/>
    <m/>
    <n v="0"/>
    <n v="0"/>
    <n v="0"/>
    <n v="0"/>
    <m/>
    <m/>
    <n v="0"/>
    <n v="0"/>
    <m/>
    <m/>
    <n v="138721"/>
    <n v="148615"/>
    <n v="110226"/>
    <n v="138275"/>
    <n v="129947"/>
    <n v="155295"/>
    <n v="378894"/>
    <n v="420.99333333333334"/>
    <n v="442185"/>
    <n v="491.31666666666666"/>
    <m/>
    <m/>
    <n v="0"/>
    <n v="0"/>
  </r>
  <r>
    <x v="12"/>
    <s v="Tennessee Technology Center at Jacksboro"/>
    <n v="220394"/>
    <x v="10"/>
    <s v="sem"/>
    <s v="sem"/>
    <m/>
    <m/>
    <m/>
    <m/>
    <m/>
    <m/>
    <m/>
    <m/>
    <n v="0"/>
    <n v="0"/>
    <n v="0"/>
    <n v="0"/>
    <m/>
    <m/>
    <n v="0"/>
    <n v="0"/>
    <m/>
    <m/>
    <n v="50201"/>
    <n v="58414"/>
    <n v="44667"/>
    <n v="62482"/>
    <n v="63073"/>
    <n v="82312"/>
    <n v="157941"/>
    <n v="175.49"/>
    <n v="203208"/>
    <n v="225.78666666666666"/>
    <m/>
    <m/>
    <n v="0"/>
    <n v="0"/>
  </r>
  <r>
    <x v="12"/>
    <s v="Tennessee Technology Center at Jackson"/>
    <n v="221616"/>
    <x v="10"/>
    <s v="sem"/>
    <s v="sem"/>
    <m/>
    <m/>
    <m/>
    <m/>
    <m/>
    <m/>
    <m/>
    <m/>
    <n v="0"/>
    <n v="0"/>
    <n v="0"/>
    <n v="0"/>
    <m/>
    <m/>
    <n v="0"/>
    <n v="0"/>
    <m/>
    <m/>
    <n v="172479"/>
    <n v="195080"/>
    <n v="171979"/>
    <n v="186345"/>
    <n v="187537"/>
    <n v="235613"/>
    <n v="531995"/>
    <n v="591.10555555555561"/>
    <n v="617038"/>
    <n v="685.59777777777776"/>
    <m/>
    <m/>
    <n v="0"/>
    <n v="0"/>
  </r>
  <r>
    <x v="12"/>
    <s v="Tennessee Technology Center at Knoxville"/>
    <n v="221625"/>
    <x v="10"/>
    <s v="sem"/>
    <s v="sem"/>
    <m/>
    <m/>
    <m/>
    <m/>
    <m/>
    <m/>
    <m/>
    <m/>
    <n v="0"/>
    <n v="0"/>
    <n v="0"/>
    <n v="0"/>
    <m/>
    <m/>
    <n v="0"/>
    <n v="0"/>
    <m/>
    <m/>
    <n v="186513"/>
    <n v="214268"/>
    <n v="192756"/>
    <n v="224202"/>
    <n v="218637"/>
    <n v="251524"/>
    <n v="597906"/>
    <n v="664.34"/>
    <n v="689994"/>
    <n v="766.66"/>
    <m/>
    <m/>
    <n v="0"/>
    <n v="0"/>
  </r>
  <r>
    <x v="12"/>
    <s v="Tennessee Technology Center at Livingston"/>
    <n v="220640"/>
    <x v="10"/>
    <s v="sem"/>
    <s v="sem"/>
    <m/>
    <m/>
    <m/>
    <m/>
    <m/>
    <m/>
    <m/>
    <m/>
    <n v="0"/>
    <n v="0"/>
    <n v="0"/>
    <n v="0"/>
    <m/>
    <m/>
    <n v="0"/>
    <n v="0"/>
    <m/>
    <m/>
    <n v="150732"/>
    <n v="153266"/>
    <n v="124841"/>
    <n v="123679"/>
    <n v="149280"/>
    <n v="155861"/>
    <n v="424853"/>
    <n v="472.05888888888887"/>
    <n v="432806"/>
    <n v="480.89555555555557"/>
    <m/>
    <m/>
    <n v="0"/>
    <n v="0"/>
  </r>
  <r>
    <x v="12"/>
    <s v="Tennessee Technology Center at McKenzie"/>
    <n v="220756"/>
    <x v="10"/>
    <s v="sem"/>
    <s v="sem"/>
    <m/>
    <m/>
    <m/>
    <m/>
    <m/>
    <m/>
    <m/>
    <m/>
    <n v="0"/>
    <n v="0"/>
    <n v="0"/>
    <n v="0"/>
    <m/>
    <m/>
    <n v="0"/>
    <n v="0"/>
    <m/>
    <m/>
    <n v="85650"/>
    <n v="95481"/>
    <n v="74290"/>
    <n v="99244"/>
    <n v="95402"/>
    <n v="105764"/>
    <n v="255342"/>
    <n v="283.71333333333331"/>
    <n v="300489"/>
    <n v="333.87666666666667"/>
    <m/>
    <m/>
    <n v="0"/>
    <n v="0"/>
  </r>
  <r>
    <x v="12"/>
    <s v="Tennessee Technology Center at McMinnville"/>
    <n v="221607"/>
    <x v="10"/>
    <s v="sem"/>
    <s v="sem"/>
    <m/>
    <m/>
    <m/>
    <m/>
    <m/>
    <m/>
    <m/>
    <m/>
    <n v="0"/>
    <n v="0"/>
    <n v="0"/>
    <n v="0"/>
    <m/>
    <m/>
    <n v="0"/>
    <n v="0"/>
    <m/>
    <m/>
    <n v="72144"/>
    <n v="94790"/>
    <n v="71465"/>
    <n v="92031"/>
    <n v="88486"/>
    <n v="116441"/>
    <n v="232095"/>
    <n v="257.88333333333333"/>
    <n v="303262"/>
    <n v="336.95777777777778"/>
    <m/>
    <m/>
    <n v="0"/>
    <n v="0"/>
  </r>
  <r>
    <x v="12"/>
    <s v="Tennessee Technology Center at Memphis"/>
    <n v="220853"/>
    <x v="10"/>
    <s v="sem"/>
    <s v="sem"/>
    <m/>
    <m/>
    <m/>
    <m/>
    <m/>
    <m/>
    <m/>
    <m/>
    <n v="0"/>
    <n v="0"/>
    <n v="0"/>
    <n v="0"/>
    <m/>
    <m/>
    <n v="0"/>
    <n v="0"/>
    <m/>
    <m/>
    <n v="256106"/>
    <n v="253245"/>
    <n v="227890"/>
    <n v="234382"/>
    <n v="244138"/>
    <n v="247835"/>
    <n v="728134"/>
    <n v="809.03777777777782"/>
    <n v="735462"/>
    <n v="817.18"/>
    <m/>
    <m/>
    <n v="0"/>
    <n v="0"/>
  </r>
  <r>
    <x v="12"/>
    <s v="Tennessee Technology Center at Morristown"/>
    <n v="221050"/>
    <x v="10"/>
    <s v="sem"/>
    <s v="sem"/>
    <m/>
    <m/>
    <m/>
    <m/>
    <m/>
    <m/>
    <m/>
    <m/>
    <n v="0"/>
    <n v="0"/>
    <n v="0"/>
    <n v="0"/>
    <m/>
    <m/>
    <n v="0"/>
    <n v="0"/>
    <m/>
    <m/>
    <n v="180931"/>
    <n v="202261"/>
    <n v="173966"/>
    <n v="203765"/>
    <n v="197528"/>
    <n v="228728"/>
    <n v="552425"/>
    <n v="613.80555555555554"/>
    <n v="634754"/>
    <n v="705.28222222222223"/>
    <m/>
    <m/>
    <n v="0"/>
    <n v="0"/>
  </r>
  <r>
    <x v="12"/>
    <s v="Tennessee Technology Center at Murfreesboro"/>
    <n v="221102"/>
    <x v="10"/>
    <s v="sem"/>
    <s v="sem"/>
    <m/>
    <m/>
    <m/>
    <m/>
    <m/>
    <m/>
    <m/>
    <m/>
    <n v="0"/>
    <n v="0"/>
    <n v="0"/>
    <n v="0"/>
    <m/>
    <m/>
    <n v="0"/>
    <n v="0"/>
    <m/>
    <m/>
    <n v="130806"/>
    <n v="133600"/>
    <n v="132996"/>
    <n v="146744"/>
    <n v="137140"/>
    <n v="153075"/>
    <n v="400942"/>
    <n v="445.49111111111114"/>
    <n v="433419"/>
    <n v="481.57666666666665"/>
    <m/>
    <m/>
    <n v="0"/>
    <n v="0"/>
  </r>
  <r>
    <x v="12"/>
    <s v="Tennessee Technology Center at Nashville"/>
    <n v="248925"/>
    <x v="10"/>
    <s v="sem"/>
    <s v="sem"/>
    <m/>
    <m/>
    <m/>
    <m/>
    <m/>
    <m/>
    <m/>
    <m/>
    <n v="0"/>
    <n v="0"/>
    <n v="0"/>
    <n v="0"/>
    <m/>
    <m/>
    <n v="0"/>
    <n v="0"/>
    <m/>
    <m/>
    <n v="223707"/>
    <n v="214059"/>
    <n v="196070"/>
    <n v="204348"/>
    <n v="221870"/>
    <n v="242434"/>
    <n v="641647"/>
    <n v="712.94111111111113"/>
    <n v="660841"/>
    <n v="734.26777777777772"/>
    <m/>
    <m/>
    <n v="0"/>
    <n v="0"/>
  </r>
  <r>
    <x v="12"/>
    <s v="Tennessee Technology Center at Newbern"/>
    <n v="221236"/>
    <x v="10"/>
    <s v="sem"/>
    <s v="sem"/>
    <m/>
    <m/>
    <m/>
    <m/>
    <m/>
    <m/>
    <m/>
    <m/>
    <n v="0"/>
    <n v="0"/>
    <n v="0"/>
    <n v="0"/>
    <m/>
    <m/>
    <n v="0"/>
    <n v="0"/>
    <m/>
    <m/>
    <n v="64564"/>
    <n v="88235"/>
    <n v="52782"/>
    <n v="77712"/>
    <n v="84404"/>
    <n v="109761"/>
    <n v="201750"/>
    <n v="224.16666666666666"/>
    <n v="275708"/>
    <n v="306.34222222222223"/>
    <m/>
    <m/>
    <n v="0"/>
    <n v="0"/>
  </r>
  <r>
    <x v="12"/>
    <s v="Tennessee Technology Center at Oneida"/>
    <n v="221582"/>
    <x v="10"/>
    <s v="sem"/>
    <s v="sem"/>
    <m/>
    <m/>
    <m/>
    <m/>
    <m/>
    <m/>
    <m/>
    <m/>
    <n v="0"/>
    <n v="0"/>
    <n v="0"/>
    <n v="0"/>
    <m/>
    <m/>
    <n v="0"/>
    <n v="0"/>
    <m/>
    <m/>
    <n v="85794"/>
    <n v="93781"/>
    <n v="56031"/>
    <n v="76317"/>
    <n v="97416"/>
    <n v="130436"/>
    <n v="239241"/>
    <n v="265.82333333333332"/>
    <n v="300534"/>
    <n v="333.92666666666668"/>
    <m/>
    <m/>
    <n v="0"/>
    <n v="0"/>
  </r>
  <r>
    <x v="12"/>
    <s v="Tennessee Technology Center at Paris"/>
    <n v="221281"/>
    <x v="10"/>
    <s v="sem"/>
    <s v="sem"/>
    <m/>
    <m/>
    <m/>
    <m/>
    <m/>
    <m/>
    <m/>
    <m/>
    <n v="0"/>
    <n v="0"/>
    <n v="0"/>
    <n v="0"/>
    <m/>
    <m/>
    <n v="0"/>
    <n v="0"/>
    <m/>
    <m/>
    <n v="106589"/>
    <n v="117139"/>
    <n v="106050"/>
    <n v="112590"/>
    <n v="119050"/>
    <n v="115958"/>
    <n v="331689"/>
    <n v="368.54333333333335"/>
    <n v="345687"/>
    <n v="384.09666666666669"/>
    <m/>
    <m/>
    <n v="0"/>
    <n v="0"/>
  </r>
  <r>
    <x v="12"/>
    <s v="Tennessee Technology Center at Pulaski"/>
    <n v="221333"/>
    <x v="10"/>
    <s v="sem"/>
    <s v="sem"/>
    <m/>
    <m/>
    <m/>
    <m/>
    <m/>
    <m/>
    <m/>
    <m/>
    <n v="0"/>
    <n v="0"/>
    <n v="0"/>
    <n v="0"/>
    <m/>
    <m/>
    <n v="0"/>
    <n v="0"/>
    <m/>
    <m/>
    <n v="96821"/>
    <n v="128133"/>
    <n v="64269"/>
    <n v="100183"/>
    <n v="108692"/>
    <n v="196874"/>
    <n v="269782"/>
    <n v="299.75777777777779"/>
    <n v="425190"/>
    <n v="472.43333333333334"/>
    <m/>
    <m/>
    <n v="0"/>
    <n v="0"/>
  </r>
  <r>
    <x v="12"/>
    <s v="Tennessee Technology Center at Ripley"/>
    <n v="221388"/>
    <x v="10"/>
    <s v="sem"/>
    <s v="sem"/>
    <m/>
    <m/>
    <m/>
    <m/>
    <m/>
    <m/>
    <m/>
    <m/>
    <n v="0"/>
    <n v="0"/>
    <n v="0"/>
    <n v="0"/>
    <m/>
    <m/>
    <n v="0"/>
    <n v="0"/>
    <m/>
    <m/>
    <n v="46566"/>
    <n v="65310"/>
    <n v="51498"/>
    <n v="61985"/>
    <n v="61821"/>
    <n v="77010"/>
    <n v="159885"/>
    <n v="177.65"/>
    <n v="204305"/>
    <n v="227.00555555555556"/>
    <m/>
    <m/>
    <n v="0"/>
    <n v="0"/>
  </r>
  <r>
    <x v="12"/>
    <s v="Tennessee Technology Center at Shelbyville"/>
    <n v="221494"/>
    <x v="10"/>
    <s v="sem"/>
    <s v="sem"/>
    <m/>
    <m/>
    <m/>
    <m/>
    <m/>
    <m/>
    <m/>
    <m/>
    <n v="0"/>
    <n v="0"/>
    <n v="0"/>
    <n v="0"/>
    <m/>
    <m/>
    <n v="0"/>
    <n v="0"/>
    <m/>
    <m/>
    <n v="152767"/>
    <n v="161903"/>
    <n v="139757"/>
    <n v="186914"/>
    <n v="172706"/>
    <n v="223473"/>
    <n v="465230"/>
    <n v="516.92222222222222"/>
    <n v="572290"/>
    <n v="635.87777777777774"/>
    <m/>
    <m/>
    <n v="0"/>
    <n v="0"/>
  </r>
  <r>
    <x v="12"/>
    <s v="Tennessee Technology Center at Whiteville"/>
    <n v="221634"/>
    <x v="10"/>
    <s v="sem"/>
    <s v="sem"/>
    <m/>
    <m/>
    <m/>
    <m/>
    <m/>
    <m/>
    <m/>
    <m/>
    <n v="0"/>
    <n v="0"/>
    <n v="0"/>
    <n v="0"/>
    <m/>
    <m/>
    <n v="0"/>
    <n v="0"/>
    <m/>
    <m/>
    <n v="53107"/>
    <n v="62125"/>
    <n v="53371"/>
    <n v="58200"/>
    <n v="60776"/>
    <n v="69704"/>
    <n v="167254"/>
    <n v="185.83777777777777"/>
    <n v="190029"/>
    <n v="211.14333333333335"/>
    <m/>
    <m/>
    <n v="0"/>
    <n v="0"/>
  </r>
  <r>
    <x v="13"/>
    <s v="Texas A&amp;M University "/>
    <n v="228723"/>
    <x v="0"/>
    <s v="sem"/>
    <s v="sem"/>
    <m/>
    <m/>
    <n v="465351"/>
    <n v="473014"/>
    <n v="80477"/>
    <n v="74384"/>
    <n v="512032"/>
    <n v="514938"/>
    <n v="1057860"/>
    <n v="35262"/>
    <n v="1062336"/>
    <n v="35411.199999999997"/>
    <n v="0"/>
    <n v="0"/>
    <n v="1057860"/>
    <n v="1062336"/>
    <m/>
    <m/>
    <m/>
    <m/>
    <m/>
    <m/>
    <m/>
    <m/>
    <n v="0"/>
    <n v="0"/>
    <n v="0"/>
    <n v="0"/>
    <m/>
    <m/>
    <n v="0"/>
    <n v="0"/>
  </r>
  <r>
    <x v="13"/>
    <s v="Texas Tech University "/>
    <n v="229115"/>
    <x v="0"/>
    <s v="sem"/>
    <s v="sem"/>
    <m/>
    <m/>
    <n v="282456"/>
    <n v="275750"/>
    <n v="54233"/>
    <n v="51752"/>
    <n v="313686"/>
    <n v="321333"/>
    <n v="650375"/>
    <n v="21679.166666666668"/>
    <n v="648835"/>
    <n v="21627.833333333332"/>
    <n v="0"/>
    <n v="0"/>
    <n v="650375"/>
    <n v="648835"/>
    <m/>
    <m/>
    <m/>
    <m/>
    <m/>
    <m/>
    <m/>
    <m/>
    <n v="0"/>
    <n v="0"/>
    <n v="0"/>
    <n v="0"/>
    <m/>
    <m/>
    <n v="0"/>
    <n v="0"/>
  </r>
  <r>
    <x v="13"/>
    <s v="University of Houston"/>
    <n v="225511"/>
    <x v="0"/>
    <s v="sem"/>
    <s v="sem"/>
    <m/>
    <m/>
    <n v="297732"/>
    <n v="308296"/>
    <n v="57700"/>
    <n v="57218"/>
    <n v="334757"/>
    <n v="341681"/>
    <n v="690189"/>
    <n v="23006.3"/>
    <n v="707195"/>
    <n v="23573.166666666668"/>
    <n v="0"/>
    <n v="0"/>
    <n v="690189"/>
    <n v="707195"/>
    <m/>
    <m/>
    <m/>
    <m/>
    <m/>
    <m/>
    <m/>
    <m/>
    <n v="0"/>
    <n v="0"/>
    <n v="0"/>
    <n v="0"/>
    <m/>
    <m/>
    <n v="0"/>
    <n v="0"/>
  </r>
  <r>
    <x v="13"/>
    <s v="University of North Texas"/>
    <n v="227216"/>
    <x v="0"/>
    <s v="sem"/>
    <s v="sem"/>
    <m/>
    <m/>
    <n v="314042"/>
    <n v="321248"/>
    <n v="79447"/>
    <n v="77602"/>
    <n v="342564"/>
    <n v="337591"/>
    <n v="736053"/>
    <n v="24535.1"/>
    <n v="736441"/>
    <n v="24548.033333333333"/>
    <n v="0"/>
    <n v="0"/>
    <n v="736053"/>
    <n v="736441"/>
    <m/>
    <m/>
    <m/>
    <m/>
    <m/>
    <m/>
    <m/>
    <m/>
    <n v="0"/>
    <n v="0"/>
    <n v="0"/>
    <n v="0"/>
    <m/>
    <m/>
    <n v="0"/>
    <n v="0"/>
  </r>
  <r>
    <x v="13"/>
    <s v="University of Texas at Arlington"/>
    <n v="228769"/>
    <x v="0"/>
    <s v="sem"/>
    <s v="sem"/>
    <m/>
    <m/>
    <n v="205112"/>
    <n v="207920"/>
    <n v="45710"/>
    <n v="48771"/>
    <n v="214709"/>
    <n v="235472"/>
    <n v="465531"/>
    <n v="15517.7"/>
    <n v="492163"/>
    <n v="16405.433333333334"/>
    <n v="453"/>
    <n v="1023"/>
    <n v="465531"/>
    <n v="492163"/>
    <m/>
    <m/>
    <m/>
    <m/>
    <m/>
    <m/>
    <m/>
    <m/>
    <n v="0"/>
    <n v="0"/>
    <n v="0"/>
    <n v="0"/>
    <m/>
    <m/>
    <n v="0"/>
    <n v="0"/>
  </r>
  <r>
    <x v="13"/>
    <s v="University of Texas at Austin"/>
    <n v="228778"/>
    <x v="0"/>
    <s v="sem"/>
    <s v="sem"/>
    <m/>
    <m/>
    <n v="465690"/>
    <n v="463306"/>
    <n v="61765"/>
    <n v="59549"/>
    <n v="496145"/>
    <n v="506051"/>
    <n v="1023600"/>
    <n v="34120"/>
    <n v="1028906"/>
    <n v="34296.866666666669"/>
    <n v="0"/>
    <n v="0"/>
    <n v="1023600"/>
    <n v="1028906"/>
    <m/>
    <m/>
    <m/>
    <m/>
    <m/>
    <m/>
    <m/>
    <m/>
    <n v="0"/>
    <n v="0"/>
    <n v="0"/>
    <n v="0"/>
    <m/>
    <m/>
    <n v="0"/>
    <n v="0"/>
  </r>
  <r>
    <x v="13"/>
    <s v="University of Texas at Dallas"/>
    <n v="228787"/>
    <x v="0"/>
    <s v="sem"/>
    <s v="sem"/>
    <m/>
    <m/>
    <n v="105552"/>
    <n v="109481"/>
    <n v="21315"/>
    <n v="21595"/>
    <n v="116180"/>
    <n v="121633"/>
    <n v="243047"/>
    <n v="8101.5666666666666"/>
    <n v="252709"/>
    <n v="8423.6333333333332"/>
    <n v="0"/>
    <n v="0"/>
    <n v="243047"/>
    <n v="252709"/>
    <m/>
    <m/>
    <m/>
    <m/>
    <m/>
    <m/>
    <m/>
    <m/>
    <n v="0"/>
    <n v="0"/>
    <n v="0"/>
    <n v="0"/>
    <m/>
    <m/>
    <n v="0"/>
    <n v="0"/>
  </r>
  <r>
    <x v="13"/>
    <s v="Texas Woman's University"/>
    <n v="229179"/>
    <x v="1"/>
    <s v="sem"/>
    <s v="sem"/>
    <m/>
    <m/>
    <n v="79120"/>
    <n v="82032"/>
    <n v="22449"/>
    <n v="23478"/>
    <n v="87711"/>
    <n v="91072"/>
    <n v="189280"/>
    <n v="6309.333333333333"/>
    <n v="196582"/>
    <n v="6552.7333333333336"/>
    <n v="0"/>
    <n v="0"/>
    <n v="189280"/>
    <n v="196582"/>
    <m/>
    <m/>
    <m/>
    <m/>
    <m/>
    <m/>
    <m/>
    <m/>
    <n v="0"/>
    <n v="0"/>
    <n v="0"/>
    <n v="0"/>
    <m/>
    <m/>
    <n v="0"/>
    <n v="0"/>
  </r>
  <r>
    <x v="13"/>
    <s v="University of Texas at El Paso"/>
    <n v="228796"/>
    <x v="1"/>
    <s v="sem"/>
    <s v="sem"/>
    <m/>
    <m/>
    <n v="174503"/>
    <n v="177967"/>
    <n v="44261"/>
    <n v="44439"/>
    <n v="188224"/>
    <n v="191879"/>
    <n v="406988"/>
    <n v="13566.266666666666"/>
    <n v="414285"/>
    <n v="13809.5"/>
    <n v="977"/>
    <n v="692"/>
    <n v="406988"/>
    <n v="414285"/>
    <m/>
    <m/>
    <m/>
    <m/>
    <m/>
    <m/>
    <m/>
    <m/>
    <n v="0"/>
    <n v="0"/>
    <n v="0"/>
    <n v="0"/>
    <m/>
    <m/>
    <n v="0"/>
    <n v="0"/>
  </r>
  <r>
    <x v="13"/>
    <s v="University of Texas at San Antonio"/>
    <n v="229027"/>
    <x v="1"/>
    <s v="sem"/>
    <s v="sem"/>
    <m/>
    <m/>
    <n v="262253"/>
    <n v="263314"/>
    <n v="53739"/>
    <n v="52055"/>
    <n v="290973"/>
    <n v="295613"/>
    <n v="606965"/>
    <n v="20232.166666666668"/>
    <n v="610982"/>
    <n v="20366.066666666666"/>
    <n v="4911"/>
    <n v="4740"/>
    <n v="606965"/>
    <n v="610982"/>
    <m/>
    <m/>
    <m/>
    <m/>
    <m/>
    <m/>
    <m/>
    <m/>
    <n v="0"/>
    <n v="0"/>
    <n v="0"/>
    <n v="0"/>
    <m/>
    <m/>
    <n v="0"/>
    <n v="0"/>
  </r>
  <r>
    <x v="13"/>
    <s v="Angelo State University"/>
    <n v="222831"/>
    <x v="2"/>
    <s v="sem"/>
    <s v="sem"/>
    <m/>
    <m/>
    <n v="63873"/>
    <n v="61856"/>
    <n v="11619"/>
    <n v="11562"/>
    <n v="70945"/>
    <n v="72437"/>
    <n v="146437"/>
    <n v="4881.2333333333336"/>
    <n v="145855"/>
    <n v="4861.833333333333"/>
    <n v="393"/>
    <n v="225"/>
    <n v="146437"/>
    <n v="145855"/>
    <m/>
    <m/>
    <m/>
    <m/>
    <m/>
    <m/>
    <m/>
    <m/>
    <n v="0"/>
    <n v="0"/>
    <n v="0"/>
    <n v="0"/>
    <m/>
    <m/>
    <n v="0"/>
    <n v="0"/>
  </r>
  <r>
    <x v="13"/>
    <s v="Lamar University"/>
    <n v="226091"/>
    <x v="2"/>
    <s v="sem"/>
    <s v="sem"/>
    <m/>
    <m/>
    <n v="90740"/>
    <n v="95657"/>
    <n v="23487"/>
    <n v="25213"/>
    <n v="100092"/>
    <n v="107594"/>
    <n v="214319"/>
    <n v="7143.9666666666662"/>
    <n v="228464"/>
    <n v="7615.4666666666662"/>
    <n v="1609"/>
    <n v="2303"/>
    <n v="214319"/>
    <n v="228464"/>
    <m/>
    <m/>
    <m/>
    <m/>
    <m/>
    <m/>
    <m/>
    <m/>
    <n v="0"/>
    <n v="0"/>
    <n v="0"/>
    <n v="0"/>
    <m/>
    <m/>
    <n v="0"/>
    <n v="0"/>
  </r>
  <r>
    <x v="13"/>
    <s v="Midwestern State University"/>
    <n v="226833"/>
    <x v="2"/>
    <s v="sem"/>
    <s v="sem"/>
    <m/>
    <m/>
    <n v="58291"/>
    <n v="59014"/>
    <n v="14393"/>
    <n v="15610"/>
    <n v="61415"/>
    <n v="64423"/>
    <n v="134099"/>
    <n v="4469.9666666666662"/>
    <n v="139047"/>
    <n v="4634.8999999999996"/>
    <n v="128"/>
    <n v="248"/>
    <n v="134099"/>
    <n v="139047"/>
    <m/>
    <m/>
    <m/>
    <m/>
    <m/>
    <m/>
    <m/>
    <m/>
    <n v="0"/>
    <n v="0"/>
    <n v="0"/>
    <n v="0"/>
    <m/>
    <m/>
    <n v="0"/>
    <n v="0"/>
  </r>
  <r>
    <x v="13"/>
    <s v="Prairie View A&amp;M University"/>
    <n v="227526"/>
    <x v="2"/>
    <s v="sem"/>
    <s v="sem"/>
    <m/>
    <m/>
    <n v="76109"/>
    <n v="73908"/>
    <n v="11671"/>
    <n v="11359"/>
    <n v="82896"/>
    <n v="87612"/>
    <n v="170676"/>
    <n v="5689.2"/>
    <n v="172879"/>
    <n v="5762.6333333333332"/>
    <n v="0"/>
    <n v="0"/>
    <n v="170676"/>
    <n v="172879"/>
    <m/>
    <m/>
    <m/>
    <m/>
    <m/>
    <m/>
    <m/>
    <m/>
    <n v="0"/>
    <n v="0"/>
    <n v="0"/>
    <n v="0"/>
    <m/>
    <m/>
    <n v="0"/>
    <n v="0"/>
  </r>
  <r>
    <x v="13"/>
    <s v="Sam Houston State University "/>
    <n v="227881"/>
    <x v="2"/>
    <s v="sem"/>
    <s v="sem"/>
    <m/>
    <m/>
    <n v="171858"/>
    <n v="170553"/>
    <n v="39347"/>
    <n v="40384"/>
    <n v="186925"/>
    <n v="187756"/>
    <n v="398130"/>
    <n v="13271"/>
    <n v="398693"/>
    <n v="13289.766666666666"/>
    <n v="0"/>
    <n v="0"/>
    <n v="398130"/>
    <n v="398693"/>
    <m/>
    <m/>
    <m/>
    <m/>
    <m/>
    <m/>
    <m/>
    <m/>
    <n v="0"/>
    <n v="0"/>
    <n v="0"/>
    <n v="0"/>
    <m/>
    <m/>
    <n v="0"/>
    <n v="0"/>
  </r>
  <r>
    <x v="13"/>
    <s v="Stephen F. Austin State University"/>
    <n v="228431"/>
    <x v="2"/>
    <s v="sem"/>
    <s v="sem"/>
    <m/>
    <m/>
    <n v="118694"/>
    <n v="123875"/>
    <n v="31178"/>
    <n v="31063"/>
    <n v="134092"/>
    <n v="142654"/>
    <n v="283964"/>
    <n v="9465.4666666666672"/>
    <n v="297592"/>
    <n v="9919.7333333333336"/>
    <n v="1124"/>
    <n v="1677"/>
    <n v="283964"/>
    <n v="297592"/>
    <m/>
    <m/>
    <m/>
    <m/>
    <m/>
    <m/>
    <m/>
    <m/>
    <n v="0"/>
    <n v="0"/>
    <n v="0"/>
    <n v="0"/>
    <m/>
    <m/>
    <n v="0"/>
    <n v="0"/>
  </r>
  <r>
    <x v="13"/>
    <s v="Sul Ross State University "/>
    <n v="228501"/>
    <x v="2"/>
    <s v="sem"/>
    <s v="sem"/>
    <m/>
    <m/>
    <n v="13952"/>
    <n v="14486"/>
    <n v="3585"/>
    <n v="2951"/>
    <n v="16465"/>
    <n v="18464"/>
    <n v="34002"/>
    <n v="1133.4000000000001"/>
    <n v="35901"/>
    <n v="1196.7"/>
    <n v="256"/>
    <n v="684"/>
    <n v="34002"/>
    <n v="35901"/>
    <m/>
    <m/>
    <m/>
    <m/>
    <m/>
    <m/>
    <m/>
    <m/>
    <n v="0"/>
    <n v="0"/>
    <n v="0"/>
    <n v="0"/>
    <m/>
    <m/>
    <n v="0"/>
    <n v="0"/>
  </r>
  <r>
    <x v="13"/>
    <s v="Tarleton State University"/>
    <n v="228529"/>
    <x v="2"/>
    <s v="sem"/>
    <s v="sem"/>
    <m/>
    <m/>
    <n v="86705"/>
    <n v="88440"/>
    <n v="23694"/>
    <n v="26587"/>
    <n v="92339"/>
    <n v="87683"/>
    <n v="202738"/>
    <n v="6757.9333333333334"/>
    <n v="202710"/>
    <n v="6757"/>
    <n v="211"/>
    <n v="133"/>
    <n v="202738"/>
    <n v="202710"/>
    <m/>
    <m/>
    <m/>
    <m/>
    <m/>
    <m/>
    <m/>
    <m/>
    <n v="0"/>
    <n v="0"/>
    <n v="0"/>
    <n v="0"/>
    <m/>
    <m/>
    <n v="0"/>
    <n v="0"/>
  </r>
  <r>
    <x v="13"/>
    <s v="Texas A&amp;M International University"/>
    <n v="226152"/>
    <x v="2"/>
    <s v="sem"/>
    <s v="sem"/>
    <m/>
    <m/>
    <n v="43790"/>
    <n v="48794"/>
    <n v="14421"/>
    <n v="13895"/>
    <n v="51429"/>
    <n v="57286"/>
    <n v="109640"/>
    <n v="3654.6666666666665"/>
    <n v="119975"/>
    <n v="3999.1666666666665"/>
    <n v="4970"/>
    <n v="7312"/>
    <n v="109640"/>
    <n v="119975"/>
    <m/>
    <m/>
    <m/>
    <m/>
    <m/>
    <m/>
    <m/>
    <m/>
    <n v="0"/>
    <n v="0"/>
    <n v="0"/>
    <n v="0"/>
    <m/>
    <m/>
    <n v="0"/>
    <n v="0"/>
  </r>
  <r>
    <x v="13"/>
    <s v="Texas A&amp;M University-Commerce"/>
    <n v="224554"/>
    <x v="2"/>
    <s v="sem"/>
    <s v="sem"/>
    <m/>
    <m/>
    <n v="53877"/>
    <n v="58148"/>
    <n v="16398"/>
    <n v="13381"/>
    <n v="59701"/>
    <n v="62582"/>
    <n v="129976"/>
    <n v="4332.5333333333338"/>
    <n v="134111"/>
    <n v="4470.3666666666668"/>
    <n v="176"/>
    <n v="80"/>
    <n v="129976"/>
    <n v="134111"/>
    <m/>
    <m/>
    <m/>
    <m/>
    <m/>
    <m/>
    <m/>
    <m/>
    <n v="0"/>
    <n v="0"/>
    <n v="0"/>
    <n v="0"/>
    <m/>
    <m/>
    <n v="0"/>
    <n v="0"/>
  </r>
  <r>
    <x v="13"/>
    <s v="Texas A&amp;M University-Corpus Christi "/>
    <n v="224147"/>
    <x v="2"/>
    <s v="sem"/>
    <s v="sem"/>
    <m/>
    <m/>
    <n v="74951"/>
    <n v="82657"/>
    <n v="23383"/>
    <n v="23344"/>
    <n v="89351"/>
    <n v="91979"/>
    <n v="187685"/>
    <n v="6256.166666666667"/>
    <n v="197980"/>
    <n v="6599.333333333333"/>
    <n v="900"/>
    <n v="1120"/>
    <n v="187685"/>
    <n v="197980"/>
    <m/>
    <m/>
    <m/>
    <m/>
    <m/>
    <m/>
    <m/>
    <m/>
    <n v="0"/>
    <n v="0"/>
    <n v="0"/>
    <n v="0"/>
    <m/>
    <m/>
    <n v="0"/>
    <n v="0"/>
  </r>
  <r>
    <x v="13"/>
    <s v="Texas A&amp;M University-Kingsville"/>
    <n v="228705"/>
    <x v="2"/>
    <s v="sem"/>
    <s v="sem"/>
    <m/>
    <m/>
    <n v="55409"/>
    <n v="60465"/>
    <n v="15614"/>
    <n v="14642"/>
    <n v="64697"/>
    <n v="57124"/>
    <n v="135720"/>
    <n v="4524"/>
    <n v="132231"/>
    <n v="4407.7"/>
    <n v="0"/>
    <n v="0"/>
    <n v="135720"/>
    <n v="132231"/>
    <m/>
    <m/>
    <m/>
    <m/>
    <m/>
    <m/>
    <m/>
    <m/>
    <n v="0"/>
    <n v="0"/>
    <n v="0"/>
    <n v="0"/>
    <m/>
    <m/>
    <n v="0"/>
    <n v="0"/>
  </r>
  <r>
    <x v="13"/>
    <s v="Texas Southern University "/>
    <n v="229063"/>
    <x v="2"/>
    <s v="sem"/>
    <s v="sem"/>
    <m/>
    <m/>
    <n v="82479"/>
    <n v="77361"/>
    <n v="11464"/>
    <n v="11399"/>
    <n v="86820"/>
    <n v="88647"/>
    <n v="180763"/>
    <n v="6025.4333333333334"/>
    <n v="177407"/>
    <n v="5913.5666666666666"/>
    <n v="0"/>
    <n v="0"/>
    <n v="180763"/>
    <n v="177407"/>
    <m/>
    <m/>
    <m/>
    <m/>
    <m/>
    <m/>
    <m/>
    <m/>
    <n v="0"/>
    <n v="0"/>
    <n v="0"/>
    <n v="0"/>
    <m/>
    <m/>
    <n v="0"/>
    <n v="0"/>
  </r>
  <r>
    <x v="13"/>
    <s v="Texas State University-San Marcos"/>
    <n v="228459"/>
    <x v="2"/>
    <s v="sem"/>
    <s v="sem"/>
    <m/>
    <m/>
    <n v="281890"/>
    <n v="287466"/>
    <n v="67091"/>
    <n v="63905"/>
    <n v="312589"/>
    <n v="326469"/>
    <n v="661570"/>
    <n v="22052.333333333332"/>
    <n v="677840"/>
    <n v="22594.666666666668"/>
    <n v="3"/>
    <n v="0"/>
    <n v="661570"/>
    <n v="677840"/>
    <m/>
    <m/>
    <m/>
    <m/>
    <m/>
    <m/>
    <m/>
    <m/>
    <n v="0"/>
    <n v="0"/>
    <n v="0"/>
    <n v="0"/>
    <m/>
    <m/>
    <n v="0"/>
    <n v="0"/>
  </r>
  <r>
    <x v="13"/>
    <s v="University of Houston-Clear Lake "/>
    <n v="225414"/>
    <x v="2"/>
    <s v="sem"/>
    <s v="sem"/>
    <m/>
    <m/>
    <n v="39132"/>
    <n v="39497"/>
    <n v="13018"/>
    <n v="12480"/>
    <n v="40872"/>
    <n v="43093"/>
    <n v="93022"/>
    <n v="3100.7333333333331"/>
    <n v="95070"/>
    <n v="3169"/>
    <n v="0"/>
    <n v="0"/>
    <n v="93022"/>
    <n v="95070"/>
    <m/>
    <m/>
    <m/>
    <m/>
    <m/>
    <m/>
    <m/>
    <m/>
    <n v="0"/>
    <n v="0"/>
    <n v="0"/>
    <n v="0"/>
    <m/>
    <m/>
    <n v="0"/>
    <n v="0"/>
  </r>
  <r>
    <x v="13"/>
    <s v="University of Texas at Tyler"/>
    <n v="228802"/>
    <x v="2"/>
    <s v="sem"/>
    <s v="sem"/>
    <m/>
    <m/>
    <n v="58962"/>
    <n v="56899"/>
    <n v="8235"/>
    <n v="8163"/>
    <n v="62715"/>
    <n v="61279"/>
    <n v="129912"/>
    <n v="4330.3999999999996"/>
    <n v="126341"/>
    <n v="4211.3666666666668"/>
    <n v="0"/>
    <n v="0"/>
    <n v="129912"/>
    <n v="126341"/>
    <m/>
    <m/>
    <m/>
    <m/>
    <m/>
    <m/>
    <m/>
    <m/>
    <n v="0"/>
    <n v="0"/>
    <n v="0"/>
    <n v="0"/>
    <m/>
    <m/>
    <n v="0"/>
    <n v="0"/>
  </r>
  <r>
    <x v="13"/>
    <s v="University of Texas-Pan American"/>
    <n v="227368"/>
    <x v="2"/>
    <s v="sem"/>
    <s v="sem"/>
    <m/>
    <m/>
    <n v="165673"/>
    <n v="167688"/>
    <n v="64108"/>
    <n v="62155"/>
    <n v="178269"/>
    <n v="188585"/>
    <n v="408050"/>
    <n v="13601.666666666666"/>
    <n v="418428"/>
    <n v="13947.6"/>
    <n v="1243"/>
    <n v="3335"/>
    <n v="408050"/>
    <n v="418428"/>
    <m/>
    <m/>
    <m/>
    <m/>
    <m/>
    <m/>
    <m/>
    <m/>
    <n v="0"/>
    <n v="0"/>
    <n v="0"/>
    <n v="0"/>
    <m/>
    <m/>
    <n v="0"/>
    <n v="0"/>
  </r>
  <r>
    <x v="13"/>
    <s v="West Texas A&amp;M University"/>
    <n v="229814"/>
    <x v="2"/>
    <s v="sem"/>
    <s v="sem"/>
    <m/>
    <m/>
    <n v="66314"/>
    <n v="69025"/>
    <n v="14575"/>
    <n v="14083"/>
    <n v="76044"/>
    <n v="78972"/>
    <n v="156933"/>
    <n v="5231.1000000000004"/>
    <n v="162080"/>
    <n v="5402.666666666667"/>
    <n v="0"/>
    <n v="0"/>
    <n v="156933"/>
    <n v="162080"/>
    <m/>
    <m/>
    <m/>
    <m/>
    <m/>
    <m/>
    <m/>
    <m/>
    <n v="0"/>
    <n v="0"/>
    <n v="0"/>
    <n v="0"/>
    <m/>
    <m/>
    <n v="0"/>
    <n v="0"/>
  </r>
  <r>
    <x v="13"/>
    <s v="Texas A&amp;M -Texarkana"/>
    <n v="224545"/>
    <x v="3"/>
    <s v="sem"/>
    <s v="sem"/>
    <m/>
    <m/>
    <n v="9954"/>
    <n v="10711"/>
    <n v="3270"/>
    <n v="3156"/>
    <n v="9655"/>
    <n v="10419"/>
    <n v="22879"/>
    <n v="762.63333333333333"/>
    <n v="24286"/>
    <n v="809.5333333333333"/>
    <n v="30"/>
    <n v="24"/>
    <n v="22879"/>
    <n v="24286"/>
    <m/>
    <m/>
    <m/>
    <m/>
    <m/>
    <m/>
    <m/>
    <m/>
    <n v="0"/>
    <n v="0"/>
    <n v="0"/>
    <n v="0"/>
    <m/>
    <m/>
    <n v="0"/>
    <n v="0"/>
  </r>
  <r>
    <x v="13"/>
    <s v="University of Houston-Victoria"/>
    <n v="225502"/>
    <x v="3"/>
    <s v="sem"/>
    <s v="sem"/>
    <m/>
    <m/>
    <n v="13297"/>
    <n v="15978"/>
    <n v="6672"/>
    <n v="7743"/>
    <n v="14927"/>
    <n v="17037"/>
    <n v="34896"/>
    <n v="1163.2"/>
    <n v="40758"/>
    <n v="1358.6"/>
    <n v="0"/>
    <n v="0"/>
    <n v="34896"/>
    <n v="40758"/>
    <m/>
    <m/>
    <m/>
    <m/>
    <m/>
    <m/>
    <m/>
    <m/>
    <n v="0"/>
    <n v="0"/>
    <n v="0"/>
    <n v="0"/>
    <m/>
    <m/>
    <n v="0"/>
    <n v="0"/>
  </r>
  <r>
    <x v="13"/>
    <s v="University of Texas at Brownsville"/>
    <n v="227377"/>
    <x v="3"/>
    <s v="sem"/>
    <s v="sem"/>
    <m/>
    <m/>
    <n v="32439"/>
    <n v="34170"/>
    <n v="11934"/>
    <n v="10783"/>
    <n v="42786"/>
    <n v="44844"/>
    <n v="87159"/>
    <n v="2905.3"/>
    <n v="89797"/>
    <n v="2993.2333333333331"/>
    <n v="8030"/>
    <n v="7904"/>
    <n v="87159"/>
    <n v="89797"/>
    <m/>
    <m/>
    <m/>
    <m/>
    <m/>
    <m/>
    <m/>
    <m/>
    <n v="0"/>
    <n v="0"/>
    <n v="0"/>
    <n v="0"/>
    <m/>
    <m/>
    <n v="0"/>
    <n v="0"/>
  </r>
  <r>
    <x v="13"/>
    <s v="University of Texas of the Permian Basin"/>
    <n v="229018"/>
    <x v="3"/>
    <s v="sem"/>
    <s v="sem"/>
    <m/>
    <m/>
    <n v="30336"/>
    <n v="28864"/>
    <n v="7182"/>
    <n v="6498"/>
    <n v="30782"/>
    <n v="32394"/>
    <n v="68300"/>
    <n v="2276.6666666666665"/>
    <n v="67756"/>
    <n v="2258.5333333333333"/>
    <n v="74"/>
    <n v="343"/>
    <n v="68300"/>
    <n v="67756"/>
    <m/>
    <m/>
    <m/>
    <m/>
    <m/>
    <m/>
    <m/>
    <m/>
    <n v="0"/>
    <n v="0"/>
    <n v="0"/>
    <n v="0"/>
    <m/>
    <m/>
    <n v="0"/>
    <n v="0"/>
  </r>
  <r>
    <x v="13"/>
    <s v="Sul Ross State University-Rio Grande College"/>
    <s v="228501B"/>
    <x v="4"/>
    <s v="sem"/>
    <s v="sem"/>
    <m/>
    <m/>
    <n v="6054"/>
    <n v="6255"/>
    <n v="3546"/>
    <n v="3486"/>
    <n v="6116"/>
    <n v="6245"/>
    <n v="15716"/>
    <n v="523.86666666666667"/>
    <n v="15986"/>
    <n v="532.86666666666667"/>
    <n v="0"/>
    <n v="0"/>
    <n v="15716"/>
    <n v="15986"/>
    <m/>
    <m/>
    <m/>
    <m/>
    <m/>
    <m/>
    <m/>
    <m/>
    <n v="0"/>
    <n v="0"/>
    <n v="0"/>
    <n v="0"/>
    <m/>
    <m/>
    <n v="0"/>
    <n v="0"/>
  </r>
  <r>
    <x v="13"/>
    <s v="University of Houston-Downtown"/>
    <n v="225432"/>
    <x v="4"/>
    <s v="sem"/>
    <s v="sem"/>
    <m/>
    <m/>
    <n v="108428"/>
    <n v="108923"/>
    <n v="31783"/>
    <n v="32120"/>
    <n v="114984"/>
    <n v="119454"/>
    <n v="255195"/>
    <n v="8506.5"/>
    <n v="260497"/>
    <n v="8683.2333333333336"/>
    <n v="147"/>
    <n v="324"/>
    <n v="255195"/>
    <n v="260497"/>
    <m/>
    <m/>
    <m/>
    <m/>
    <m/>
    <m/>
    <m/>
    <m/>
    <n v="0"/>
    <n v="0"/>
    <n v="0"/>
    <n v="0"/>
    <m/>
    <m/>
    <n v="0"/>
    <n v="0"/>
  </r>
  <r>
    <x v="13"/>
    <s v="Texas A&amp;M University at Galveston"/>
    <n v="228714"/>
    <x v="5"/>
    <s v="sem"/>
    <s v="sem"/>
    <m/>
    <m/>
    <n v="19567"/>
    <n v="21528"/>
    <n v="3580"/>
    <n v="3561"/>
    <n v="21334"/>
    <n v="23988"/>
    <n v="44481"/>
    <n v="1482.7"/>
    <n v="49077"/>
    <n v="1635.9"/>
    <n v="0"/>
    <n v="0"/>
    <n v="44481"/>
    <n v="49077"/>
    <m/>
    <m/>
    <m/>
    <m/>
    <m/>
    <m/>
    <m/>
    <m/>
    <n v="0"/>
    <n v="0"/>
    <n v="0"/>
    <n v="0"/>
    <m/>
    <m/>
    <n v="0"/>
    <n v="0"/>
  </r>
  <r>
    <x v="13"/>
    <s v="Brazosport College "/>
    <n v="223506"/>
    <x v="11"/>
    <s v="sem"/>
    <s v="sem"/>
    <n v="26750"/>
    <n v="27137"/>
    <n v="7989"/>
    <n v="8465"/>
    <n v="2843"/>
    <n v="2847"/>
    <n v="30430"/>
    <n v="31413"/>
    <n v="68012"/>
    <n v="2267.0666666666666"/>
    <n v="69862"/>
    <n v="2328.7333333333331"/>
    <n v="8672"/>
    <n v="10080"/>
    <n v="68012"/>
    <n v="69862"/>
    <n v="10939"/>
    <n v="8407"/>
    <n v="10808"/>
    <n v="14217"/>
    <n v="4362"/>
    <n v="7243"/>
    <n v="13431"/>
    <n v="17254"/>
    <n v="39540"/>
    <n v="43.93333333333333"/>
    <n v="47121"/>
    <n v="52.356666666666669"/>
    <m/>
    <m/>
    <n v="0"/>
    <n v="0"/>
  </r>
  <r>
    <x v="13"/>
    <s v="Midland College "/>
    <n v="226806"/>
    <x v="11"/>
    <s v="sem"/>
    <s v="sem"/>
    <n v="46531"/>
    <n v="46013"/>
    <n v="9539"/>
    <n v="10422"/>
    <n v="9178"/>
    <n v="9815"/>
    <n v="46675"/>
    <n v="49841"/>
    <n v="111923"/>
    <n v="3730.7666666666669"/>
    <n v="116091"/>
    <n v="3869.7"/>
    <n v="9865"/>
    <n v="9253"/>
    <n v="111923"/>
    <n v="116091"/>
    <n v="50419"/>
    <n v="40613"/>
    <n v="48818"/>
    <n v="36364"/>
    <n v="30392"/>
    <n v="28146"/>
    <n v="51646"/>
    <n v="40390"/>
    <n v="181275"/>
    <n v="201.41666666666666"/>
    <n v="145513"/>
    <n v="161.68111111111111"/>
    <m/>
    <m/>
    <n v="0"/>
    <n v="0"/>
  </r>
  <r>
    <x v="13"/>
    <s v="South Texas College"/>
    <n v="409315"/>
    <x v="11"/>
    <s v="sem"/>
    <s v="sem"/>
    <n v="156853"/>
    <n v="177124"/>
    <n v="29231"/>
    <n v="32353"/>
    <n v="27719"/>
    <n v="31122"/>
    <n v="175464"/>
    <n v="219438"/>
    <n v="389267"/>
    <n v="12975.566666666668"/>
    <n v="460037"/>
    <n v="15334.566666666668"/>
    <n v="70739"/>
    <n v="85589"/>
    <n v="389267"/>
    <n v="460037"/>
    <n v="45454"/>
    <n v="45896"/>
    <n v="39703"/>
    <n v="48272"/>
    <n v="43180"/>
    <n v="78603"/>
    <n v="40162"/>
    <n v="58609"/>
    <n v="168499"/>
    <n v="187.2211111111111"/>
    <n v="231380"/>
    <n v="257.0888888888889"/>
    <m/>
    <m/>
    <n v="0"/>
    <n v="0"/>
  </r>
  <r>
    <x v="13"/>
    <s v="Amarillo College "/>
    <n v="222576"/>
    <x v="6"/>
    <s v="sem"/>
    <s v="sem"/>
    <n v="76133"/>
    <n v="80338"/>
    <n v="21146"/>
    <n v="22810"/>
    <n v="0"/>
    <n v="0"/>
    <n v="79391"/>
    <n v="87101"/>
    <n v="176670"/>
    <n v="5889"/>
    <n v="190249"/>
    <n v="6341.6333333333332"/>
    <n v="20047"/>
    <n v="19393"/>
    <n v="176670"/>
    <n v="190249"/>
    <n v="150338"/>
    <n v="126507"/>
    <n v="157428"/>
    <n v="139784"/>
    <n v="140291"/>
    <n v="125264"/>
    <n v="161765"/>
    <n v="148752"/>
    <n v="609822"/>
    <n v="677.58"/>
    <n v="540307"/>
    <n v="600.3411111111111"/>
    <m/>
    <m/>
    <n v="0"/>
    <n v="0"/>
  </r>
  <r>
    <x v="13"/>
    <s v="Austin Community College "/>
    <n v="222992"/>
    <x v="6"/>
    <s v="sem"/>
    <s v="sem"/>
    <n v="249738"/>
    <n v="279070"/>
    <n v="145075"/>
    <n v="166306"/>
    <n v="0"/>
    <n v="0"/>
    <n v="252322"/>
    <n v="283563"/>
    <n v="647135"/>
    <n v="21571.166666666668"/>
    <n v="728939"/>
    <n v="24297.966666666667"/>
    <n v="35944"/>
    <n v="43728"/>
    <n v="647135"/>
    <n v="728939"/>
    <n v="114011"/>
    <n v="103790"/>
    <n v="115154"/>
    <n v="54611"/>
    <n v="98024"/>
    <n v="98650"/>
    <n v="133589"/>
    <n v="123403"/>
    <n v="460778"/>
    <n v="511.97555555555556"/>
    <n v="380454"/>
    <n v="422.72666666666669"/>
    <m/>
    <m/>
    <n v="0"/>
    <n v="0"/>
  </r>
  <r>
    <x v="13"/>
    <s v="Blinn College "/>
    <n v="223427"/>
    <x v="6"/>
    <s v="sem"/>
    <s v="sem"/>
    <n v="137199"/>
    <n v="150973"/>
    <n v="29822"/>
    <n v="29842"/>
    <n v="16233"/>
    <n v="18463"/>
    <n v="156668"/>
    <n v="173374"/>
    <n v="339922"/>
    <n v="11330.733333333334"/>
    <n v="372652"/>
    <n v="12421.733333333334"/>
    <n v="9899"/>
    <n v="12367"/>
    <n v="339922"/>
    <n v="372652"/>
    <n v="30465"/>
    <n v="31293"/>
    <n v="33981"/>
    <n v="31714"/>
    <n v="38939"/>
    <n v="31329"/>
    <n v="36797"/>
    <n v="53101"/>
    <n v="140182"/>
    <n v="155.75777777777779"/>
    <n v="147437"/>
    <n v="163.81888888888889"/>
    <m/>
    <m/>
    <n v="0"/>
    <n v="0"/>
  </r>
  <r>
    <x v="13"/>
    <s v="Brookhaven College  (DCCCD)"/>
    <n v="223524"/>
    <x v="6"/>
    <s v="sem"/>
    <s v="sem"/>
    <n v="74837"/>
    <n v="80895"/>
    <n v="30166"/>
    <n v="28752"/>
    <n v="14512"/>
    <n v="15827"/>
    <n v="68735"/>
    <n v="72399"/>
    <n v="188250"/>
    <n v="6275"/>
    <n v="197873"/>
    <n v="6595.7666666666664"/>
    <n v="6560"/>
    <n v="6815"/>
    <n v="188250"/>
    <n v="197873"/>
    <n v="72472"/>
    <n v="72586"/>
    <n v="79835"/>
    <n v="82710"/>
    <n v="86034"/>
    <n v="72201"/>
    <n v="90742"/>
    <n v="110787"/>
    <n v="329083"/>
    <n v="365.64777777777778"/>
    <n v="338284"/>
    <n v="375.87111111111113"/>
    <m/>
    <m/>
    <n v="0"/>
    <n v="0"/>
  </r>
  <r>
    <x v="13"/>
    <s v="Central Texas College "/>
    <n v="223816"/>
    <x v="6"/>
    <s v="sem"/>
    <s v="sem"/>
    <n v="94390"/>
    <n v="105908"/>
    <n v="85813"/>
    <n v="70415"/>
    <n v="9922"/>
    <n v="9694"/>
    <n v="74021"/>
    <n v="88586"/>
    <n v="264146"/>
    <n v="8804.8666666666668"/>
    <n v="274603"/>
    <n v="9153.4333333333325"/>
    <n v="17189"/>
    <n v="18782"/>
    <n v="264146"/>
    <n v="274603"/>
    <n v="60124"/>
    <n v="63433"/>
    <n v="110100"/>
    <n v="75831"/>
    <n v="91433"/>
    <n v="97341"/>
    <n v="82082"/>
    <n v="112305"/>
    <n v="343739"/>
    <n v="381.93222222222221"/>
    <n v="348910"/>
    <n v="387.67777777777781"/>
    <m/>
    <m/>
    <n v="0"/>
    <n v="0"/>
  </r>
  <r>
    <x v="13"/>
    <s v="Collin County Community College District"/>
    <n v="247834"/>
    <x v="6"/>
    <s v="sem"/>
    <s v="sem"/>
    <n v="170777"/>
    <n v="187913"/>
    <n v="38106"/>
    <n v="40473"/>
    <n v="30905"/>
    <n v="35120"/>
    <n v="178651"/>
    <n v="208739"/>
    <n v="418439"/>
    <n v="13947.966666666667"/>
    <n v="472245"/>
    <n v="15741.5"/>
    <n v="11872"/>
    <n v="14895"/>
    <n v="418439"/>
    <n v="472245"/>
    <n v="133412"/>
    <n v="163036"/>
    <n v="117427"/>
    <n v="107629"/>
    <n v="103662"/>
    <n v="138033"/>
    <n v="176556"/>
    <n v="187854"/>
    <n v="531057"/>
    <n v="590.06333333333339"/>
    <n v="596552"/>
    <n v="662.83555555555552"/>
    <m/>
    <m/>
    <n v="0"/>
    <n v="0"/>
  </r>
  <r>
    <x v="13"/>
    <s v="Del Mar College "/>
    <n v="224350"/>
    <x v="6"/>
    <s v="sem"/>
    <s v="sem"/>
    <n v="83024"/>
    <n v="86050"/>
    <n v="22815"/>
    <n v="24128"/>
    <n v="8940"/>
    <n v="10168"/>
    <n v="91580"/>
    <n v="100698"/>
    <n v="206359"/>
    <n v="6878.6333333333332"/>
    <n v="221044"/>
    <n v="7368.1333333333332"/>
    <n v="9874"/>
    <n v="13492"/>
    <n v="206359"/>
    <n v="221044"/>
    <n v="64250"/>
    <n v="39991"/>
    <n v="78386"/>
    <n v="30547"/>
    <n v="80078"/>
    <n v="43745"/>
    <n v="54017"/>
    <n v="46128"/>
    <n v="276731"/>
    <n v="307.47888888888889"/>
    <n v="160411"/>
    <n v="178.23444444444445"/>
    <m/>
    <m/>
    <n v="0"/>
    <n v="0"/>
  </r>
  <r>
    <x v="13"/>
    <s v="Eastfield College  (DCCCD)"/>
    <n v="224572"/>
    <x v="6"/>
    <s v="sem"/>
    <s v="sem"/>
    <n v="75020"/>
    <n v="81552"/>
    <n v="28782"/>
    <n v="27579"/>
    <n v="13052"/>
    <n v="13567"/>
    <n v="68450"/>
    <n v="74230"/>
    <n v="185304"/>
    <n v="6176.8"/>
    <n v="196928"/>
    <n v="6564.2666666666664"/>
    <n v="10390"/>
    <n v="13197"/>
    <n v="185304"/>
    <n v="196928"/>
    <n v="54026"/>
    <n v="53677"/>
    <n v="55414"/>
    <n v="50259"/>
    <n v="64418"/>
    <n v="75311"/>
    <n v="63536"/>
    <n v="63293"/>
    <n v="237394"/>
    <n v="263.77111111111111"/>
    <n v="242540"/>
    <n v="269.48888888888888"/>
    <m/>
    <m/>
    <n v="0"/>
    <n v="0"/>
  </r>
  <r>
    <x v="13"/>
    <s v="El Paso County Community College District"/>
    <n v="224642"/>
    <x v="6"/>
    <s v="sem"/>
    <s v="sem"/>
    <n v="200821"/>
    <n v="212405"/>
    <n v="52347"/>
    <n v="54346"/>
    <n v="0"/>
    <n v="0"/>
    <n v="225500"/>
    <n v="246934"/>
    <n v="478668"/>
    <n v="15955.6"/>
    <n v="513685"/>
    <n v="17122.833333333332"/>
    <n v="28385"/>
    <n v="32970"/>
    <n v="478668"/>
    <n v="513685"/>
    <n v="125484"/>
    <n v="132415"/>
    <n v="122704"/>
    <n v="121481"/>
    <n v="125093"/>
    <n v="139220"/>
    <n v="117043"/>
    <n v="168732"/>
    <n v="490324"/>
    <n v="544.80444444444447"/>
    <n v="561848"/>
    <n v="624.27555555555557"/>
    <m/>
    <m/>
    <n v="0"/>
    <n v="0"/>
  </r>
  <r>
    <x v="13"/>
    <s v="Houston Community College"/>
    <n v="225423"/>
    <x v="6"/>
    <s v="sem"/>
    <s v="sem"/>
    <n v="340857"/>
    <n v="393534"/>
    <n v="227404"/>
    <n v="259547"/>
    <n v="0"/>
    <n v="0"/>
    <n v="297936"/>
    <n v="328163"/>
    <n v="866197"/>
    <n v="28873.233333333334"/>
    <n v="981244"/>
    <n v="32708.133333333335"/>
    <n v="37464"/>
    <n v="50588"/>
    <n v="866197"/>
    <n v="981244"/>
    <n v="438229"/>
    <n v="471562"/>
    <n v="411029"/>
    <n v="414318"/>
    <n v="396354"/>
    <n v="429137"/>
    <n v="495744"/>
    <n v="594100"/>
    <n v="1741356"/>
    <n v="1934.84"/>
    <n v="1909117"/>
    <n v="2121.241111111111"/>
    <m/>
    <m/>
    <n v="0"/>
    <n v="0"/>
  </r>
  <r>
    <x v="13"/>
    <s v="Laredo Community College "/>
    <n v="226134"/>
    <x v="6"/>
    <s v="sem"/>
    <s v="sem"/>
    <n v="64613"/>
    <n v="69918"/>
    <n v="14073"/>
    <n v="15871"/>
    <n v="8504"/>
    <n v="9127"/>
    <n v="70254"/>
    <n v="78664"/>
    <n v="157444"/>
    <n v="5248.1333333333332"/>
    <n v="173580"/>
    <n v="5786"/>
    <n v="1250"/>
    <n v="3733"/>
    <n v="157444"/>
    <n v="173580"/>
    <n v="21583"/>
    <n v="35505"/>
    <n v="41862"/>
    <n v="23378"/>
    <n v="58900"/>
    <n v="23912"/>
    <n v="40473"/>
    <n v="21992"/>
    <n v="162818"/>
    <n v="180.9088888888889"/>
    <n v="104787"/>
    <n v="116.43"/>
    <m/>
    <m/>
    <n v="0"/>
    <n v="0"/>
  </r>
  <r>
    <x v="13"/>
    <s v="Lone Star College System District"/>
    <n v="227182"/>
    <x v="6"/>
    <s v="sem"/>
    <s v="sem"/>
    <n v="341083"/>
    <n v="352232"/>
    <n v="160831"/>
    <n v="177471"/>
    <n v="0"/>
    <n v="0"/>
    <n v="340294"/>
    <n v="386785"/>
    <n v="842208"/>
    <n v="28073.599999999999"/>
    <n v="916488"/>
    <n v="30549.599999999999"/>
    <n v="43900"/>
    <n v="49505"/>
    <n v="842208"/>
    <n v="916488"/>
    <n v="159298"/>
    <n v="168162"/>
    <n v="84210"/>
    <n v="107632"/>
    <n v="108155"/>
    <n v="137850"/>
    <n v="199056"/>
    <n v="183181"/>
    <n v="550719"/>
    <n v="611.91"/>
    <n v="596825"/>
    <n v="663.13888888888891"/>
    <m/>
    <m/>
    <n v="0"/>
    <n v="0"/>
  </r>
  <r>
    <x v="13"/>
    <s v="McLennan Community College "/>
    <n v="226578"/>
    <x v="6"/>
    <s v="sem"/>
    <s v="sem"/>
    <n v="68821"/>
    <n v="77640"/>
    <n v="20312"/>
    <n v="17137"/>
    <n v="9693"/>
    <n v="10271"/>
    <n v="71854"/>
    <n v="85726"/>
    <n v="170680"/>
    <n v="5689.333333333333"/>
    <n v="190774"/>
    <n v="6359.1333333333332"/>
    <n v="7898"/>
    <n v="8630"/>
    <n v="170680"/>
    <n v="190774"/>
    <n v="44356"/>
    <n v="60840"/>
    <n v="51007"/>
    <n v="53197"/>
    <n v="67135"/>
    <n v="80487"/>
    <n v="41879"/>
    <n v="46770"/>
    <n v="204377"/>
    <n v="227.08555555555554"/>
    <n v="241294"/>
    <n v="268.10444444444443"/>
    <m/>
    <m/>
    <n v="0"/>
    <n v="0"/>
  </r>
  <r>
    <x v="13"/>
    <s v="Navarro College "/>
    <n v="227146"/>
    <x v="6"/>
    <s v="sem"/>
    <s v="sem"/>
    <n v="72813"/>
    <n v="82143"/>
    <n v="16553"/>
    <n v="19708"/>
    <n v="5462"/>
    <n v="7603"/>
    <n v="77047"/>
    <n v="89604"/>
    <n v="171875"/>
    <n v="5729.166666666667"/>
    <n v="199058"/>
    <n v="6635.2666666666664"/>
    <n v="19652"/>
    <n v="22311"/>
    <n v="171875"/>
    <n v="199058"/>
    <n v="84213"/>
    <n v="29459"/>
    <n v="95150"/>
    <n v="23034"/>
    <n v="33176"/>
    <n v="22573"/>
    <n v="23831"/>
    <n v="35327"/>
    <n v="236370"/>
    <n v="262.63333333333333"/>
    <n v="110393"/>
    <n v="122.6588888888889"/>
    <m/>
    <m/>
    <n v="0"/>
    <n v="0"/>
  </r>
  <r>
    <x v="13"/>
    <s v="North Lake College  (DCCCD)"/>
    <n v="227191"/>
    <x v="6"/>
    <s v="sem"/>
    <s v="sem"/>
    <n v="71092"/>
    <n v="81550"/>
    <n v="20970"/>
    <n v="18406"/>
    <n v="13138"/>
    <n v="14936"/>
    <n v="74096"/>
    <n v="79850"/>
    <n v="179296"/>
    <n v="5976.5333333333338"/>
    <n v="194742"/>
    <n v="6491.4"/>
    <n v="11155"/>
    <n v="9935"/>
    <n v="179296"/>
    <n v="194742"/>
    <n v="122671"/>
    <n v="133552"/>
    <n v="71466"/>
    <n v="64278"/>
    <n v="65638"/>
    <n v="77159"/>
    <n v="167828"/>
    <n v="132752"/>
    <n v="427603"/>
    <n v="475.11444444444442"/>
    <n v="407741"/>
    <n v="453.04555555555555"/>
    <m/>
    <m/>
    <n v="0"/>
    <n v="0"/>
  </r>
  <r>
    <x v="13"/>
    <s v="Northwest Vista College (ACCD)"/>
    <n v="420398"/>
    <x v="6"/>
    <s v="sem"/>
    <s v="sem"/>
    <n v="86824"/>
    <n v="102572"/>
    <n v="25039"/>
    <n v="31359"/>
    <n v="3266"/>
    <n v="4207"/>
    <n v="99467"/>
    <n v="119922"/>
    <n v="214596"/>
    <n v="7153.2"/>
    <n v="258060"/>
    <n v="8602"/>
    <n v="15928"/>
    <n v="20060"/>
    <n v="214596"/>
    <n v="258060"/>
    <n v="18855"/>
    <n v="17432"/>
    <n v="4189"/>
    <n v="2059"/>
    <n v="8255"/>
    <n v="14453"/>
    <n v="35907"/>
    <n v="25708"/>
    <n v="67206"/>
    <n v="74.673333333333332"/>
    <n v="59652"/>
    <n v="66.28"/>
    <m/>
    <m/>
    <n v="0"/>
    <n v="0"/>
  </r>
  <r>
    <x v="13"/>
    <s v="Palo Alto College  (ACCD)"/>
    <n v="246354"/>
    <x v="6"/>
    <s v="sem"/>
    <s v="sem"/>
    <n v="63996"/>
    <n v="65603"/>
    <n v="16135"/>
    <n v="17551"/>
    <n v="5384"/>
    <n v="6382"/>
    <n v="66314"/>
    <n v="70365"/>
    <n v="151829"/>
    <n v="5060.9666666666662"/>
    <n v="159901"/>
    <n v="5330.0333333333338"/>
    <n v="13038"/>
    <n v="15069"/>
    <n v="151829"/>
    <n v="159901"/>
    <n v="61827"/>
    <n v="54654"/>
    <n v="43408"/>
    <n v="29563"/>
    <n v="53657"/>
    <n v="39686"/>
    <n v="85165"/>
    <n v="63608"/>
    <n v="244057"/>
    <n v="271.17444444444442"/>
    <n v="187511"/>
    <n v="208.34555555555556"/>
    <m/>
    <m/>
    <n v="0"/>
    <n v="0"/>
  </r>
  <r>
    <x v="13"/>
    <s v="Richland College  (DCCCD)"/>
    <n v="227766"/>
    <x v="6"/>
    <s v="sem"/>
    <s v="sem"/>
    <n v="108744"/>
    <n v="126875"/>
    <n v="44226"/>
    <n v="26444"/>
    <n v="20609"/>
    <n v="47657"/>
    <n v="105202"/>
    <n v="118130"/>
    <n v="278781"/>
    <n v="9292.7000000000007"/>
    <n v="319106"/>
    <n v="10636.866666666667"/>
    <n v="20055"/>
    <n v="27587"/>
    <n v="278781"/>
    <n v="319106"/>
    <n v="151151"/>
    <n v="165438"/>
    <n v="183877"/>
    <n v="185586"/>
    <n v="172059"/>
    <n v="193055"/>
    <n v="238614"/>
    <n v="235352"/>
    <n v="745701"/>
    <n v="828.55666666666662"/>
    <n v="779431"/>
    <n v="866.03444444444449"/>
    <m/>
    <m/>
    <n v="0"/>
    <n v="0"/>
  </r>
  <r>
    <x v="13"/>
    <s v="San Antonio College (ACCD)"/>
    <n v="227924"/>
    <x v="6"/>
    <s v="sem"/>
    <s v="sem"/>
    <n v="183907"/>
    <n v="192854"/>
    <n v="45960"/>
    <n v="52442"/>
    <n v="18125"/>
    <n v="19124"/>
    <n v="185459"/>
    <n v="204885"/>
    <n v="433451"/>
    <n v="14448.366666666667"/>
    <n v="469305"/>
    <n v="15643.5"/>
    <n v="18352"/>
    <n v="19315"/>
    <n v="433451"/>
    <n v="469305"/>
    <n v="98954"/>
    <n v="119224"/>
    <n v="78124"/>
    <n v="96105"/>
    <n v="104905"/>
    <n v="119486"/>
    <n v="137060"/>
    <n v="113484"/>
    <n v="419043"/>
    <n v="465.60333333333335"/>
    <n v="448299"/>
    <n v="498.11"/>
    <m/>
    <m/>
    <n v="0"/>
    <n v="0"/>
  </r>
  <r>
    <x v="13"/>
    <s v="San Jacinto College"/>
    <n v="227979"/>
    <x v="6"/>
    <s v="sem"/>
    <s v="sem"/>
    <n v="198622"/>
    <n v="207844"/>
    <n v="55959"/>
    <n v="60140"/>
    <n v="0"/>
    <n v="0"/>
    <n v="234474"/>
    <n v="255193"/>
    <n v="489055"/>
    <n v="16301.833333333334"/>
    <n v="523177"/>
    <n v="17439.233333333334"/>
    <n v="22068"/>
    <n v="24957"/>
    <n v="489055"/>
    <n v="523177"/>
    <n v="131006"/>
    <n v="118717"/>
    <n v="87803"/>
    <n v="57597"/>
    <n v="131353"/>
    <n v="121719"/>
    <n v="134299"/>
    <n v="98805"/>
    <n v="484461"/>
    <n v="538.29"/>
    <n v="396838"/>
    <n v="440.93111111111114"/>
    <m/>
    <m/>
    <n v="0"/>
    <n v="0"/>
  </r>
  <r>
    <x v="13"/>
    <s v="South Plains College "/>
    <n v="228158"/>
    <x v="6"/>
    <s v="sem"/>
    <s v="sem"/>
    <n v="84718"/>
    <n v="87535"/>
    <n v="12826"/>
    <n v="13464"/>
    <n v="5753"/>
    <n v="6439"/>
    <n v="88697"/>
    <n v="95842"/>
    <n v="191994"/>
    <n v="6399.8"/>
    <n v="203280"/>
    <n v="6776"/>
    <n v="18520"/>
    <n v="22047"/>
    <n v="191994"/>
    <n v="203280"/>
    <n v="42001"/>
    <n v="50257"/>
    <n v="54767"/>
    <n v="70218"/>
    <n v="50661"/>
    <n v="56006"/>
    <n v="73789"/>
    <n v="90304"/>
    <n v="221218"/>
    <n v="245.79777777777778"/>
    <n v="266785"/>
    <n v="296.42777777777781"/>
    <m/>
    <m/>
    <n v="0"/>
    <n v="0"/>
  </r>
  <r>
    <x v="13"/>
    <s v="St. Philip's College  (ACCD)"/>
    <n v="227854"/>
    <x v="6"/>
    <s v="sem"/>
    <s v="sem"/>
    <n v="85644"/>
    <n v="89654"/>
    <n v="26641"/>
    <n v="27557"/>
    <n v="5878"/>
    <n v="7235"/>
    <n v="82104"/>
    <n v="89515"/>
    <n v="200267"/>
    <n v="6675.5666666666666"/>
    <n v="213961"/>
    <n v="7132.0333333333338"/>
    <n v="11866"/>
    <n v="15564"/>
    <n v="200267"/>
    <n v="213961"/>
    <n v="26372"/>
    <n v="28450"/>
    <n v="21378"/>
    <n v="17667"/>
    <n v="26591"/>
    <n v="23701"/>
    <n v="38966"/>
    <n v="31370"/>
    <n v="113307"/>
    <n v="125.89666666666666"/>
    <n v="101188"/>
    <n v="112.43111111111111"/>
    <m/>
    <m/>
    <n v="0"/>
    <n v="0"/>
  </r>
  <r>
    <x v="13"/>
    <s v="Tarrant County College"/>
    <n v="228547"/>
    <x v="6"/>
    <s v="sem"/>
    <s v="sem"/>
    <n v="293520"/>
    <n v="327976"/>
    <n v="135531"/>
    <n v="147887"/>
    <n v="0"/>
    <n v="0"/>
    <n v="314581"/>
    <n v="351959"/>
    <n v="743632"/>
    <n v="24787.733333333334"/>
    <n v="827822"/>
    <n v="27594.066666666666"/>
    <n v="20175"/>
    <n v="30647"/>
    <n v="743632"/>
    <n v="827822"/>
    <n v="154477"/>
    <n v="195452"/>
    <n v="142443"/>
    <n v="173085"/>
    <n v="147109"/>
    <n v="152645"/>
    <n v="216751"/>
    <n v="220114"/>
    <n v="660780"/>
    <n v="734.2"/>
    <n v="741296"/>
    <n v="823.66222222222223"/>
    <m/>
    <m/>
    <n v="0"/>
    <n v="0"/>
  </r>
  <r>
    <x v="13"/>
    <s v="Texas Southmost College "/>
    <n v="229072"/>
    <x v="6"/>
    <s v="sem"/>
    <s v="sem"/>
    <n v="74555"/>
    <n v="72501"/>
    <n v="13205"/>
    <n v="11906"/>
    <n v="7766"/>
    <n v="7413"/>
    <n v="86511"/>
    <n v="89455"/>
    <n v="182037"/>
    <n v="6067.9"/>
    <n v="181275"/>
    <n v="6042.5"/>
    <n v="30751"/>
    <n v="25757"/>
    <n v="182037"/>
    <n v="181275"/>
    <n v="13640"/>
    <n v="16709"/>
    <n v="12688"/>
    <n v="13451"/>
    <n v="15941"/>
    <n v="19410"/>
    <n v="12966"/>
    <n v="15747"/>
    <n v="55235"/>
    <n v="61.37222222222222"/>
    <n v="65317"/>
    <n v="72.574444444444438"/>
    <m/>
    <m/>
    <n v="0"/>
    <n v="0"/>
  </r>
  <r>
    <x v="13"/>
    <s v="Tyler Junior College "/>
    <n v="229355"/>
    <x v="6"/>
    <s v="sem"/>
    <s v="sem"/>
    <n v="89074"/>
    <n v="96104"/>
    <n v="19863"/>
    <n v="16413"/>
    <n v="7352"/>
    <n v="7811"/>
    <n v="103234"/>
    <n v="115499"/>
    <n v="219523"/>
    <n v="7317.4333333333334"/>
    <n v="235827"/>
    <n v="7860.9"/>
    <n v="17128"/>
    <n v="13027"/>
    <n v="219523"/>
    <n v="235827"/>
    <n v="47665"/>
    <n v="72750"/>
    <n v="79586"/>
    <n v="61247"/>
    <n v="105615"/>
    <n v="80535"/>
    <n v="79459"/>
    <n v="87571"/>
    <n v="312325"/>
    <n v="347.02777777777777"/>
    <n v="302103"/>
    <n v="335.67"/>
    <m/>
    <m/>
    <n v="0"/>
    <n v="0"/>
  </r>
  <r>
    <x v="13"/>
    <s v="Alvin Community College "/>
    <n v="222567"/>
    <x v="7"/>
    <s v="sem"/>
    <s v="sem"/>
    <n v="37081"/>
    <n v="39453"/>
    <n v="17954"/>
    <n v="18765"/>
    <n v="0"/>
    <n v="0"/>
    <n v="37447"/>
    <n v="42620"/>
    <n v="92482"/>
    <n v="3082.7333333333331"/>
    <n v="100838"/>
    <n v="3361.2666666666669"/>
    <n v="6632"/>
    <n v="10967"/>
    <n v="92482"/>
    <n v="100838"/>
    <n v="28354"/>
    <n v="33102"/>
    <n v="19341"/>
    <n v="31945"/>
    <n v="26632"/>
    <n v="27595"/>
    <n v="34141"/>
    <n v="40048"/>
    <n v="108468"/>
    <n v="120.52"/>
    <n v="132690"/>
    <n v="147.43333333333334"/>
    <m/>
    <m/>
    <n v="0"/>
    <n v="0"/>
  </r>
  <r>
    <x v="13"/>
    <s v="Angelina College "/>
    <n v="222822"/>
    <x v="7"/>
    <s v="sem"/>
    <s v="sem"/>
    <n v="40647"/>
    <n v="39938"/>
    <n v="7915"/>
    <n v="7919"/>
    <n v="3270"/>
    <n v="3638"/>
    <n v="43705"/>
    <n v="49372"/>
    <n v="95537"/>
    <n v="3184.5666666666666"/>
    <n v="100867"/>
    <n v="3362.2333333333331"/>
    <n v="5619"/>
    <n v="8562"/>
    <n v="95537"/>
    <n v="100867"/>
    <n v="22935"/>
    <n v="91007"/>
    <n v="67034"/>
    <n v="30365"/>
    <n v="67331"/>
    <n v="83399"/>
    <n v="24362"/>
    <n v="38541"/>
    <n v="181662"/>
    <n v="201.84666666666666"/>
    <n v="243312"/>
    <n v="270.34666666666669"/>
    <m/>
    <m/>
    <n v="0"/>
    <n v="0"/>
  </r>
  <r>
    <x v="13"/>
    <s v="Cedar Valley College  (DCCCD)"/>
    <n v="223773"/>
    <x v="7"/>
    <s v="sem"/>
    <s v="sem"/>
    <n v="33239"/>
    <n v="41093"/>
    <n v="14756"/>
    <n v="12293"/>
    <n v="6886"/>
    <n v="7065"/>
    <n v="34765"/>
    <n v="39546"/>
    <n v="89646"/>
    <n v="2988.2"/>
    <n v="99997"/>
    <n v="3333.2333333333331"/>
    <n v="5842"/>
    <n v="8491"/>
    <n v="89646"/>
    <n v="99997"/>
    <n v="58260"/>
    <n v="57311"/>
    <n v="92342"/>
    <n v="79495"/>
    <n v="78542"/>
    <n v="102649"/>
    <n v="74504"/>
    <n v="99937"/>
    <n v="303648"/>
    <n v="337.38666666666666"/>
    <n v="339392"/>
    <n v="377.10222222222222"/>
    <m/>
    <m/>
    <n v="0"/>
    <n v="0"/>
  </r>
  <r>
    <x v="13"/>
    <s v="Cisco Junior College"/>
    <n v="223898"/>
    <x v="7"/>
    <s v="sem"/>
    <s v="sem"/>
    <n v="30996"/>
    <n v="33681"/>
    <n v="6082"/>
    <n v="6126"/>
    <n v="1757"/>
    <n v="1527"/>
    <n v="36078"/>
    <n v="41244"/>
    <n v="74913"/>
    <n v="2497.1"/>
    <n v="82578"/>
    <n v="2752.6"/>
    <n v="1734"/>
    <n v="3574"/>
    <n v="74913"/>
    <n v="82578"/>
    <n v="2693"/>
    <n v="1668"/>
    <n v="4640"/>
    <n v="3183"/>
    <n v="1613"/>
    <n v="0"/>
    <n v="3106"/>
    <n v="1400"/>
    <n v="12052"/>
    <n v="13.391111111111112"/>
    <n v="6251"/>
    <n v="6.9455555555555559"/>
    <m/>
    <m/>
    <n v="0"/>
    <n v="0"/>
  </r>
  <r>
    <x v="13"/>
    <s v="Coastal Bend College"/>
    <n v="223320"/>
    <x v="7"/>
    <s v="sem"/>
    <s v="sem"/>
    <n v="25049"/>
    <n v="30015"/>
    <n v="9395"/>
    <n v="9020"/>
    <n v="2096"/>
    <n v="2213"/>
    <n v="30982"/>
    <n v="35793"/>
    <n v="67522"/>
    <n v="2250.7333333333331"/>
    <n v="77041"/>
    <n v="2568.0333333333333"/>
    <n v="4670"/>
    <n v="9099"/>
    <n v="67522"/>
    <n v="77041"/>
    <n v="28175"/>
    <n v="24020"/>
    <n v="51155"/>
    <n v="44655"/>
    <n v="46501"/>
    <n v="41908"/>
    <n v="33348"/>
    <n v="34659"/>
    <n v="159179"/>
    <n v="176.86555555555555"/>
    <n v="145242"/>
    <n v="161.38"/>
    <m/>
    <m/>
    <n v="0"/>
    <n v="0"/>
  </r>
  <r>
    <x v="13"/>
    <s v="College of the Mainland"/>
    <n v="226408"/>
    <x v="7"/>
    <s v="sem"/>
    <s v="sem"/>
    <n v="29657"/>
    <n v="30348"/>
    <n v="7414"/>
    <n v="7670"/>
    <n v="6148"/>
    <n v="7006"/>
    <n v="29284"/>
    <n v="32546"/>
    <n v="72503"/>
    <n v="2416.7666666666669"/>
    <n v="77570"/>
    <n v="2585.6666666666665"/>
    <n v="5935"/>
    <n v="6033"/>
    <n v="72503"/>
    <n v="77570"/>
    <n v="48642"/>
    <n v="66838"/>
    <n v="24600"/>
    <n v="43601"/>
    <n v="48721"/>
    <n v="73449"/>
    <n v="32718"/>
    <n v="54457"/>
    <n v="154681"/>
    <n v="171.86777777777777"/>
    <n v="238345"/>
    <n v="264.82777777777778"/>
    <m/>
    <m/>
    <n v="0"/>
    <n v="0"/>
  </r>
  <r>
    <x v="13"/>
    <s v="El Centro College  (DCCCD)"/>
    <n v="224615"/>
    <x v="7"/>
    <s v="sem"/>
    <s v="sem"/>
    <n v="51189"/>
    <n v="61172"/>
    <n v="13902"/>
    <n v="15034"/>
    <n v="7614"/>
    <n v="8948"/>
    <n v="53839"/>
    <n v="62447"/>
    <n v="126544"/>
    <n v="4218.1333333333332"/>
    <n v="147601"/>
    <n v="4920.0333333333338"/>
    <n v="6383"/>
    <n v="9540"/>
    <n v="126544"/>
    <n v="147601"/>
    <n v="199937"/>
    <n v="323027"/>
    <n v="260001"/>
    <n v="420258"/>
    <n v="319320"/>
    <n v="328087"/>
    <n v="380788"/>
    <n v="455676"/>
    <n v="1160046"/>
    <n v="1288.94"/>
    <n v="1527048"/>
    <n v="1696.72"/>
    <m/>
    <m/>
    <n v="0"/>
    <n v="0"/>
  </r>
  <r>
    <x v="13"/>
    <s v="Grayson County College "/>
    <n v="225070"/>
    <x v="7"/>
    <s v="sem"/>
    <s v="sem"/>
    <n v="36025"/>
    <n v="41106"/>
    <n v="7273"/>
    <n v="8430"/>
    <n v="2260"/>
    <n v="2800"/>
    <n v="40157"/>
    <n v="46891"/>
    <n v="85715"/>
    <n v="2857.1666666666665"/>
    <n v="99227"/>
    <n v="3307.5666666666666"/>
    <n v="3815"/>
    <n v="4277"/>
    <n v="85715"/>
    <n v="99227"/>
    <n v="26451"/>
    <n v="17241"/>
    <n v="35125"/>
    <n v="17126"/>
    <n v="33997"/>
    <n v="29724"/>
    <n v="28571"/>
    <n v="16991"/>
    <n v="124144"/>
    <n v="137.93777777777777"/>
    <n v="81082"/>
    <n v="90.091111111111104"/>
    <m/>
    <m/>
    <n v="0"/>
    <n v="0"/>
  </r>
  <r>
    <x v="13"/>
    <s v="Hill College"/>
    <n v="225371"/>
    <x v="7"/>
    <s v="sem"/>
    <s v="sem"/>
    <n v="29931"/>
    <n v="34415"/>
    <n v="7466"/>
    <n v="9468"/>
    <n v="1918"/>
    <n v="2359"/>
    <n v="33830"/>
    <n v="39435"/>
    <n v="73145"/>
    <n v="2438.1666666666665"/>
    <n v="85677"/>
    <n v="2855.9"/>
    <n v="8189"/>
    <n v="9434"/>
    <n v="73145"/>
    <n v="85677"/>
    <n v="19828"/>
    <n v="43423"/>
    <n v="17580"/>
    <n v="20740"/>
    <n v="26486"/>
    <n v="26917"/>
    <n v="17196"/>
    <n v="19917"/>
    <n v="81090"/>
    <n v="90.1"/>
    <n v="110997"/>
    <n v="123.33"/>
    <m/>
    <m/>
    <n v="0"/>
    <n v="0"/>
  </r>
  <r>
    <x v="13"/>
    <s v="Howard College (HCJCD)"/>
    <n v="225520"/>
    <x v="7"/>
    <s v="sem"/>
    <s v="sem"/>
    <n v="26299"/>
    <n v="29219"/>
    <n v="4842"/>
    <n v="5143"/>
    <n v="2238"/>
    <n v="2216"/>
    <n v="28526"/>
    <n v="34176"/>
    <n v="61905"/>
    <n v="2063.5"/>
    <n v="70754"/>
    <n v="2358.4666666666667"/>
    <n v="11052"/>
    <n v="13550"/>
    <n v="61905"/>
    <n v="70754"/>
    <n v="215791"/>
    <n v="235084"/>
    <n v="255640"/>
    <n v="203040"/>
    <n v="244486"/>
    <n v="201376"/>
    <n v="249635"/>
    <n v="245653"/>
    <n v="965552"/>
    <n v="1072.8355555555556"/>
    <n v="885153"/>
    <n v="983.50333333333333"/>
    <m/>
    <m/>
    <n v="0"/>
    <n v="0"/>
  </r>
  <r>
    <x v="13"/>
    <s v="Kilgore College "/>
    <n v="226019"/>
    <x v="7"/>
    <s v="sem"/>
    <s v="sem"/>
    <n v="49164"/>
    <n v="52940"/>
    <n v="9351"/>
    <n v="9724"/>
    <n v="6273"/>
    <n v="6368"/>
    <n v="53146"/>
    <n v="59622"/>
    <n v="117934"/>
    <n v="3931.1333333333332"/>
    <n v="128654"/>
    <n v="4288.4666666666662"/>
    <n v="5919"/>
    <n v="9373"/>
    <n v="117934"/>
    <n v="128654"/>
    <n v="174106"/>
    <n v="211568"/>
    <n v="293166"/>
    <n v="160814"/>
    <n v="195562"/>
    <n v="201209"/>
    <n v="150561"/>
    <n v="173746"/>
    <n v="813395"/>
    <n v="903.77222222222224"/>
    <n v="747337"/>
    <n v="830.37444444444441"/>
    <m/>
    <m/>
    <n v="0"/>
    <n v="0"/>
  </r>
  <r>
    <x v="13"/>
    <s v="Lamar Institute of Technology"/>
    <n v="441760"/>
    <x v="7"/>
    <s v="sem"/>
    <s v="sem"/>
    <n v="25456"/>
    <n v="28586"/>
    <n v="2135"/>
    <n v="2427"/>
    <n v="1569"/>
    <n v="1858"/>
    <n v="31316"/>
    <n v="34393"/>
    <n v="60476"/>
    <n v="2015.8666666666666"/>
    <n v="67264"/>
    <n v="2242.1333333333332"/>
    <n v="666"/>
    <n v="1021"/>
    <n v="60476"/>
    <n v="67264"/>
    <n v="44138"/>
    <n v="49812"/>
    <n v="76260"/>
    <n v="59959"/>
    <n v="61507"/>
    <n v="73438"/>
    <n v="46522"/>
    <n v="34163"/>
    <n v="228427"/>
    <n v="253.80777777777777"/>
    <n v="217372"/>
    <n v="241.52444444444444"/>
    <m/>
    <m/>
    <n v="0"/>
    <n v="0"/>
  </r>
  <r>
    <x v="13"/>
    <s v="Lee College "/>
    <n v="226204"/>
    <x v="7"/>
    <s v="sem"/>
    <s v="sem"/>
    <n v="51279"/>
    <n v="52585"/>
    <n v="21552"/>
    <n v="22236"/>
    <n v="3504"/>
    <n v="3272"/>
    <n v="48670"/>
    <n v="55355"/>
    <n v="125005"/>
    <n v="4166.833333333333"/>
    <n v="133448"/>
    <n v="4448.2666666666664"/>
    <n v="4770"/>
    <n v="5031"/>
    <n v="125005"/>
    <n v="133448"/>
    <n v="51196"/>
    <n v="49452"/>
    <n v="38788"/>
    <n v="16815"/>
    <n v="45347"/>
    <n v="29883"/>
    <n v="34741"/>
    <n v="39156"/>
    <n v="170072"/>
    <n v="188.9688888888889"/>
    <n v="135306"/>
    <n v="150.34"/>
    <m/>
    <m/>
    <n v="0"/>
    <n v="0"/>
  </r>
  <r>
    <x v="13"/>
    <s v="Mountain View College  (DCCCD)"/>
    <n v="226930"/>
    <x v="7"/>
    <s v="sem"/>
    <s v="sem"/>
    <n v="47160"/>
    <n v="53767"/>
    <n v="16028"/>
    <n v="16833"/>
    <n v="7157"/>
    <n v="8507"/>
    <n v="46834"/>
    <n v="54455"/>
    <n v="117179"/>
    <n v="3905.9666666666667"/>
    <n v="133562"/>
    <n v="4452.0666666666666"/>
    <n v="6036"/>
    <n v="9231"/>
    <n v="117179"/>
    <n v="133562"/>
    <n v="37533"/>
    <n v="40904"/>
    <n v="39404"/>
    <n v="44019"/>
    <n v="29764"/>
    <n v="41273"/>
    <n v="50054"/>
    <n v="44485"/>
    <n v="156755"/>
    <n v="174.17222222222222"/>
    <n v="170681"/>
    <n v="189.64555555555555"/>
    <m/>
    <m/>
    <n v="0"/>
    <n v="0"/>
  </r>
  <r>
    <x v="13"/>
    <s v="North Central Texas Community College"/>
    <n v="224110"/>
    <x v="7"/>
    <s v="sem"/>
    <s v="sem"/>
    <n v="61383"/>
    <n v="68993"/>
    <n v="19389"/>
    <n v="20740"/>
    <n v="0"/>
    <n v="0"/>
    <n v="69853"/>
    <n v="77469"/>
    <n v="150625"/>
    <n v="5020.833333333333"/>
    <n v="167202"/>
    <n v="5573.4"/>
    <n v="7989"/>
    <n v="9215"/>
    <n v="150625"/>
    <n v="167202"/>
    <n v="8528"/>
    <n v="14450"/>
    <n v="11557"/>
    <n v="9245"/>
    <n v="8953"/>
    <n v="10379"/>
    <n v="23510"/>
    <n v="21973"/>
    <n v="52548"/>
    <n v="58.386666666666663"/>
    <n v="56047"/>
    <n v="62.274444444444441"/>
    <m/>
    <m/>
    <n v="0"/>
    <n v="0"/>
  </r>
  <r>
    <x v="13"/>
    <s v="Odessa College "/>
    <n v="227304"/>
    <x v="7"/>
    <s v="sem"/>
    <s v="sem"/>
    <n v="36714"/>
    <n v="37704"/>
    <n v="6511"/>
    <n v="6015"/>
    <n v="4747"/>
    <n v="4937"/>
    <n v="38791"/>
    <n v="43822"/>
    <n v="86763"/>
    <n v="2892.1"/>
    <n v="92478"/>
    <n v="3082.6"/>
    <n v="8344"/>
    <n v="9777"/>
    <n v="86763"/>
    <n v="92478"/>
    <n v="58109"/>
    <n v="61458"/>
    <n v="82846"/>
    <n v="50067"/>
    <n v="81785"/>
    <n v="64607"/>
    <n v="81177"/>
    <n v="78835"/>
    <n v="303917"/>
    <n v="337.68555555555554"/>
    <n v="254967"/>
    <n v="283.29666666666668"/>
    <m/>
    <m/>
    <n v="0"/>
    <n v="0"/>
  </r>
  <r>
    <x v="13"/>
    <s v="Paris Junior College"/>
    <n v="227401"/>
    <x v="7"/>
    <s v="sem"/>
    <s v="sem"/>
    <n v="37827"/>
    <n v="42081"/>
    <n v="7710"/>
    <n v="9693"/>
    <n v="5083"/>
    <n v="5482"/>
    <n v="42324"/>
    <n v="52991"/>
    <n v="92944"/>
    <n v="3098.1333333333332"/>
    <n v="110247"/>
    <n v="3674.9"/>
    <n v="8390"/>
    <n v="10740"/>
    <n v="92944"/>
    <n v="110247"/>
    <n v="13540"/>
    <n v="25584"/>
    <n v="28083"/>
    <n v="25126"/>
    <n v="24720"/>
    <n v="25943"/>
    <n v="19820"/>
    <n v="36772"/>
    <n v="86163"/>
    <n v="95.736666666666665"/>
    <n v="113425"/>
    <n v="126.02777777777777"/>
    <m/>
    <m/>
    <n v="0"/>
    <n v="0"/>
  </r>
  <r>
    <x v="13"/>
    <s v="Southwest Texas Junior College "/>
    <n v="228316"/>
    <x v="7"/>
    <s v="sem"/>
    <s v="sem"/>
    <n v="37925"/>
    <n v="43252"/>
    <n v="8372"/>
    <n v="7378"/>
    <n v="3620"/>
    <n v="4937"/>
    <n v="43253"/>
    <n v="49952"/>
    <n v="93170"/>
    <n v="3105.6666666666665"/>
    <n v="105519"/>
    <n v="3517.3"/>
    <n v="12564"/>
    <n v="15445"/>
    <n v="93170"/>
    <n v="105519"/>
    <n v="11895"/>
    <n v="35582"/>
    <n v="33433"/>
    <n v="27495"/>
    <n v="25356"/>
    <n v="37802"/>
    <n v="15276"/>
    <n v="17439"/>
    <n v="85960"/>
    <n v="95.511111111111106"/>
    <n v="118318"/>
    <n v="131.46444444444444"/>
    <m/>
    <m/>
    <n v="0"/>
    <n v="0"/>
  </r>
  <r>
    <x v="13"/>
    <s v="Temple College "/>
    <n v="228608"/>
    <x v="7"/>
    <s v="sem"/>
    <s v="sem"/>
    <n v="40573"/>
    <n v="44858"/>
    <n v="10959"/>
    <n v="12308"/>
    <n v="0"/>
    <n v="0"/>
    <n v="47788"/>
    <n v="52837"/>
    <n v="99320"/>
    <n v="3310.6666666666665"/>
    <n v="110003"/>
    <n v="3666.7666666666669"/>
    <n v="10613"/>
    <n v="12734"/>
    <n v="99320"/>
    <n v="110003"/>
    <n v="25081"/>
    <n v="22505"/>
    <n v="37240"/>
    <n v="29602"/>
    <n v="19193"/>
    <n v="34957"/>
    <n v="25037"/>
    <n v="28067"/>
    <n v="106551"/>
    <n v="118.39"/>
    <n v="115131"/>
    <n v="127.92333333333333"/>
    <m/>
    <m/>
    <n v="0"/>
    <n v="0"/>
  </r>
  <r>
    <x v="13"/>
    <s v="Texarkana College "/>
    <n v="228699"/>
    <x v="7"/>
    <s v="sem"/>
    <s v="sem"/>
    <n v="34480"/>
    <n v="35933"/>
    <n v="11132"/>
    <n v="12023"/>
    <n v="2291"/>
    <n v="2439"/>
    <n v="41762"/>
    <n v="45650"/>
    <n v="89665"/>
    <n v="2988.8333333333335"/>
    <n v="96045"/>
    <n v="3201.5"/>
    <n v="8803"/>
    <n v="10112"/>
    <n v="89665"/>
    <n v="96045"/>
    <n v="26592"/>
    <n v="15012"/>
    <n v="181522"/>
    <n v="175353"/>
    <n v="104136"/>
    <n v="105673"/>
    <n v="96631"/>
    <n v="100410"/>
    <n v="408881"/>
    <n v="454.3122222222222"/>
    <n v="396448"/>
    <n v="440.4977777777778"/>
    <m/>
    <m/>
    <n v="0"/>
    <n v="0"/>
  </r>
  <r>
    <x v="13"/>
    <s v="Texas State Technical College-Harlingen "/>
    <n v="229319"/>
    <x v="7"/>
    <s v="sem"/>
    <s v="sem"/>
    <n v="36572"/>
    <n v="41942"/>
    <n v="29524"/>
    <n v="31074"/>
    <n v="0"/>
    <n v="0"/>
    <n v="46369"/>
    <n v="52108"/>
    <n v="112465"/>
    <n v="3748.8333333333335"/>
    <n v="125124"/>
    <n v="4170.8"/>
    <n v="14940"/>
    <n v="17413"/>
    <n v="112465"/>
    <n v="125124"/>
    <n v="48048"/>
    <n v="26694"/>
    <n v="50176"/>
    <n v="31575"/>
    <n v="36111"/>
    <n v="40426"/>
    <n v="34126"/>
    <n v="35801"/>
    <n v="168461"/>
    <n v="187.17888888888888"/>
    <n v="134496"/>
    <n v="149.44"/>
    <m/>
    <m/>
    <n v="0"/>
    <n v="0"/>
  </r>
  <r>
    <x v="13"/>
    <s v="Texas State Technical College-Waco"/>
    <n v="228680"/>
    <x v="7"/>
    <s v="sem"/>
    <s v="sem"/>
    <n v="43385"/>
    <n v="46520"/>
    <n v="28846"/>
    <n v="33478"/>
    <n v="0"/>
    <n v="0"/>
    <n v="53229"/>
    <n v="69227"/>
    <n v="125460"/>
    <n v="4182"/>
    <n v="149225"/>
    <n v="4974.166666666667"/>
    <n v="5507"/>
    <n v="10550"/>
    <n v="125460"/>
    <n v="149225"/>
    <n v="33193"/>
    <n v="7544"/>
    <n v="30207"/>
    <n v="7018"/>
    <n v="10606"/>
    <n v="5976"/>
    <n v="10968"/>
    <n v="14974"/>
    <n v="84974"/>
    <n v="94.415555555555557"/>
    <n v="35512"/>
    <n v="39.457777777777778"/>
    <m/>
    <m/>
    <n v="0"/>
    <n v="0"/>
  </r>
  <r>
    <x v="13"/>
    <s v="Trinity Valley Community College"/>
    <n v="225308"/>
    <x v="7"/>
    <s v="sem"/>
    <s v="sem"/>
    <n v="52993"/>
    <n v="56357"/>
    <n v="14283"/>
    <n v="14390"/>
    <n v="11096"/>
    <n v="9836"/>
    <n v="55693"/>
    <n v="63749"/>
    <n v="134065"/>
    <n v="4468.833333333333"/>
    <n v="144332"/>
    <n v="4811.0666666666666"/>
    <n v="10856"/>
    <n v="13943"/>
    <n v="134065"/>
    <n v="144332"/>
    <n v="61705"/>
    <n v="61367"/>
    <n v="47948"/>
    <n v="29209"/>
    <n v="42737"/>
    <n v="45199"/>
    <n v="44754"/>
    <n v="58221"/>
    <n v="197144"/>
    <n v="219.04888888888888"/>
    <n v="193996"/>
    <n v="215.55111111111111"/>
    <m/>
    <m/>
    <n v="0"/>
    <n v="0"/>
  </r>
  <r>
    <x v="13"/>
    <s v="Vernon College "/>
    <n v="229504"/>
    <x v="7"/>
    <s v="sem"/>
    <s v="sem"/>
    <n v="24036"/>
    <n v="26406"/>
    <n v="4052"/>
    <n v="4699"/>
    <n v="5547"/>
    <n v="6163"/>
    <n v="23848"/>
    <n v="26680"/>
    <n v="57483"/>
    <n v="1916.1"/>
    <n v="63948"/>
    <n v="2131.6"/>
    <n v="5398"/>
    <n v="5080"/>
    <n v="57483"/>
    <n v="63948"/>
    <n v="53251"/>
    <n v="65220"/>
    <n v="35604"/>
    <n v="51276"/>
    <n v="36109"/>
    <n v="19686"/>
    <n v="63028"/>
    <n v="44630"/>
    <n v="187992"/>
    <n v="208.88"/>
    <n v="180812"/>
    <n v="200.90222222222224"/>
    <m/>
    <m/>
    <n v="0"/>
    <n v="0"/>
  </r>
  <r>
    <x v="13"/>
    <s v="Victoria College "/>
    <n v="229540"/>
    <x v="7"/>
    <s v="sem"/>
    <s v="sem"/>
    <n v="31529"/>
    <n v="31265"/>
    <n v="6856"/>
    <n v="7044"/>
    <n v="2115"/>
    <n v="2341"/>
    <n v="33728"/>
    <n v="34538"/>
    <n v="74228"/>
    <n v="2474.2666666666669"/>
    <n v="75188"/>
    <n v="2506.2666666666669"/>
    <n v="2867"/>
    <n v="2460"/>
    <n v="74228"/>
    <n v="75188"/>
    <n v="41861"/>
    <n v="48547"/>
    <n v="36039"/>
    <n v="31612"/>
    <n v="57549"/>
    <n v="53527"/>
    <n v="53414"/>
    <n v="32052"/>
    <n v="188863"/>
    <n v="209.84777777777776"/>
    <n v="165738"/>
    <n v="184.15333333333334"/>
    <m/>
    <m/>
    <n v="0"/>
    <n v="0"/>
  </r>
  <r>
    <x v="13"/>
    <s v="Weatherford College "/>
    <n v="229799"/>
    <x v="7"/>
    <s v="sem"/>
    <s v="sem"/>
    <n v="38668"/>
    <n v="42599"/>
    <n v="6174"/>
    <n v="6799"/>
    <n v="3427"/>
    <n v="4355"/>
    <n v="45241"/>
    <n v="51708"/>
    <n v="93510"/>
    <n v="3117"/>
    <n v="105461"/>
    <n v="3515.3666666666668"/>
    <n v="5461"/>
    <n v="6340"/>
    <n v="93510"/>
    <n v="105461"/>
    <n v="23281"/>
    <n v="37679"/>
    <n v="24296"/>
    <n v="27770"/>
    <n v="24572"/>
    <n v="27855"/>
    <n v="40112"/>
    <n v="51085"/>
    <n v="112261"/>
    <n v="124.73444444444445"/>
    <n v="144389"/>
    <n v="160.43222222222221"/>
    <m/>
    <m/>
    <n v="0"/>
    <n v="0"/>
  </r>
  <r>
    <x v="13"/>
    <s v="Wharton County Junior College "/>
    <n v="229841"/>
    <x v="7"/>
    <s v="sem"/>
    <s v="sem"/>
    <n v="50540"/>
    <n v="51819"/>
    <n v="10405"/>
    <n v="11625"/>
    <n v="5452"/>
    <n v="5956"/>
    <n v="56027"/>
    <n v="61786"/>
    <n v="122424"/>
    <n v="4080.8"/>
    <n v="131186"/>
    <n v="4372.8666666666668"/>
    <n v="8129"/>
    <n v="9205"/>
    <n v="122424"/>
    <n v="131186"/>
    <n v="5774"/>
    <n v="6716"/>
    <n v="3482"/>
    <n v="4125"/>
    <n v="7076"/>
    <n v="8246"/>
    <n v="9395"/>
    <n v="6345"/>
    <n v="25727"/>
    <n v="28.585555555555555"/>
    <n v="25432"/>
    <n v="28.257777777777779"/>
    <m/>
    <m/>
    <n v="0"/>
    <n v="0"/>
  </r>
  <r>
    <x v="13"/>
    <s v="Clarendon College "/>
    <n v="223922"/>
    <x v="8"/>
    <s v="sem"/>
    <s v="sem"/>
    <n v="10699"/>
    <n v="12536"/>
    <n v="1803"/>
    <n v="2285"/>
    <n v="1016"/>
    <n v="989"/>
    <n v="13381"/>
    <n v="14476"/>
    <n v="26899"/>
    <n v="896.63333333333333"/>
    <n v="30286"/>
    <n v="1009.5333333333333"/>
    <n v="3204"/>
    <n v="3875"/>
    <n v="26899"/>
    <n v="30286"/>
    <n v="5000"/>
    <n v="3930"/>
    <n v="3688"/>
    <n v="13760"/>
    <n v="544"/>
    <n v="2032"/>
    <n v="3472"/>
    <n v="6176"/>
    <n v="12704"/>
    <n v="14.115555555555556"/>
    <n v="25898"/>
    <n v="28.775555555555556"/>
    <m/>
    <m/>
    <n v="0"/>
    <n v="0"/>
  </r>
  <r>
    <x v="13"/>
    <s v="Frank Phillips College "/>
    <n v="224891"/>
    <x v="8"/>
    <s v="sem"/>
    <s v="sem"/>
    <n v="11563"/>
    <n v="11003"/>
    <n v="2008"/>
    <n v="1850"/>
    <n v="756"/>
    <n v="581"/>
    <n v="11408"/>
    <n v="11506"/>
    <n v="25735"/>
    <n v="857.83333333333337"/>
    <n v="24940"/>
    <n v="831.33333333333337"/>
    <n v="4798"/>
    <n v="3873"/>
    <n v="25735"/>
    <n v="24940"/>
    <n v="18845"/>
    <n v="32442"/>
    <n v="34349"/>
    <n v="8598"/>
    <n v="25379"/>
    <n v="8016"/>
    <n v="25422"/>
    <n v="19576"/>
    <n v="103995"/>
    <n v="115.55"/>
    <n v="68632"/>
    <n v="76.257777777777775"/>
    <m/>
    <m/>
    <n v="0"/>
    <n v="0"/>
  </r>
  <r>
    <x v="13"/>
    <s v="Galveston College "/>
    <n v="224961"/>
    <x v="8"/>
    <s v="sem"/>
    <s v="sem"/>
    <n v="17074"/>
    <n v="16036"/>
    <n v="5350"/>
    <n v="4472"/>
    <n v="1655"/>
    <n v="1427"/>
    <n v="17237"/>
    <n v="17716"/>
    <n v="41316"/>
    <n v="1377.2"/>
    <n v="39651"/>
    <n v="1321.7"/>
    <n v="2274"/>
    <n v="2584"/>
    <n v="41316"/>
    <n v="39651"/>
    <n v="13253"/>
    <n v="6264"/>
    <n v="5535"/>
    <n v="3862"/>
    <n v="3350"/>
    <n v="2910"/>
    <n v="3840"/>
    <n v="6603"/>
    <n v="25978"/>
    <n v="28.864444444444445"/>
    <n v="19639"/>
    <n v="21.821111111111112"/>
    <m/>
    <m/>
    <n v="0"/>
    <n v="0"/>
  </r>
  <r>
    <x v="13"/>
    <s v="Lamar State College-Orange"/>
    <n v="226107"/>
    <x v="8"/>
    <s v="sem"/>
    <s v="sem"/>
    <n v="17643"/>
    <n v="16971"/>
    <n v="4179"/>
    <n v="4544"/>
    <n v="1424"/>
    <n v="1638"/>
    <n v="20118"/>
    <n v="21307"/>
    <n v="43364"/>
    <n v="1445.4666666666667"/>
    <n v="44460"/>
    <n v="1482"/>
    <n v="2382"/>
    <n v="2285"/>
    <n v="43364"/>
    <n v="44460"/>
    <n v="18826"/>
    <n v="1108"/>
    <n v="12088"/>
    <n v="9132"/>
    <n v="10198"/>
    <n v="3017"/>
    <n v="898"/>
    <n v="9510"/>
    <n v="42010"/>
    <n v="46.677777777777777"/>
    <n v="22767"/>
    <n v="25.296666666666667"/>
    <m/>
    <m/>
    <n v="0"/>
    <n v="0"/>
  </r>
  <r>
    <x v="13"/>
    <s v="Lamar State College-Port Arthur"/>
    <n v="226116"/>
    <x v="8"/>
    <s v="sem"/>
    <s v="sem"/>
    <n v="18514"/>
    <n v="17198"/>
    <n v="2239"/>
    <n v="2160"/>
    <n v="3428"/>
    <n v="3720"/>
    <n v="18132"/>
    <n v="20080"/>
    <n v="42313"/>
    <n v="1410.4333333333334"/>
    <n v="43158"/>
    <n v="1438.6"/>
    <n v="2408"/>
    <n v="2618"/>
    <n v="42313"/>
    <n v="43158"/>
    <n v="85364"/>
    <n v="74356"/>
    <n v="64544"/>
    <n v="73332"/>
    <n v="94796"/>
    <n v="76282"/>
    <n v="60903"/>
    <n v="81588"/>
    <n v="305607"/>
    <n v="339.56333333333333"/>
    <n v="305558"/>
    <n v="339.50888888888886"/>
    <m/>
    <m/>
    <n v="0"/>
    <n v="0"/>
  </r>
  <r>
    <x v="13"/>
    <s v="Northeast Lakeview College (ACCD)"/>
    <m/>
    <x v="8"/>
    <s v="sem"/>
    <s v="sem"/>
    <n v="1527"/>
    <n v="3968"/>
    <n v="763"/>
    <n v="696"/>
    <n v="689"/>
    <n v="402"/>
    <n v="3836"/>
    <n v="5095"/>
    <n v="6815"/>
    <n v="227.16666666666666"/>
    <n v="10161"/>
    <n v="338.7"/>
    <n v="13"/>
    <n v="3"/>
    <n v="6815"/>
    <n v="10161"/>
    <n v="0"/>
    <n v="0"/>
    <n v="0"/>
    <n v="3056"/>
    <n v="0"/>
    <n v="2776"/>
    <n v="0"/>
    <n v="3216"/>
    <n v="0"/>
    <n v="0"/>
    <n v="9048"/>
    <n v="10.053333333333333"/>
    <m/>
    <m/>
    <n v="0"/>
    <n v="0"/>
  </r>
  <r>
    <x v="13"/>
    <s v="Northeast Texas Community College "/>
    <n v="227225"/>
    <x v="8"/>
    <s v="sem"/>
    <s v="sem"/>
    <n v="21364"/>
    <n v="22714"/>
    <n v="6416"/>
    <n v="5129"/>
    <n v="2581"/>
    <n v="2823"/>
    <n v="23640"/>
    <n v="28523"/>
    <n v="54001"/>
    <n v="1800.0333333333333"/>
    <n v="59189"/>
    <n v="1972.9666666666667"/>
    <n v="906"/>
    <n v="2562"/>
    <n v="54001"/>
    <n v="59189"/>
    <n v="6844"/>
    <n v="13804"/>
    <n v="10808"/>
    <n v="13507"/>
    <n v="6062"/>
    <n v="14209"/>
    <n v="5709"/>
    <n v="7181"/>
    <n v="29423"/>
    <n v="32.69222222222222"/>
    <n v="48701"/>
    <n v="54.112222222222222"/>
    <m/>
    <m/>
    <n v="0"/>
    <n v="0"/>
  </r>
  <r>
    <x v="13"/>
    <s v="Panola College"/>
    <n v="227386"/>
    <x v="8"/>
    <s v="sem"/>
    <s v="sem"/>
    <n v="17305"/>
    <n v="18223"/>
    <n v="3948"/>
    <n v="3847"/>
    <n v="1187"/>
    <n v="1241"/>
    <n v="19200"/>
    <n v="19924"/>
    <n v="41640"/>
    <n v="1388"/>
    <n v="43235"/>
    <n v="1441.1666666666667"/>
    <n v="3202"/>
    <n v="3379"/>
    <n v="41640"/>
    <n v="43235"/>
    <n v="6770"/>
    <n v="13587"/>
    <n v="11371"/>
    <n v="6446"/>
    <n v="12569"/>
    <n v="14274"/>
    <n v="17430"/>
    <n v="12269"/>
    <n v="48140"/>
    <n v="53.488888888888887"/>
    <n v="46576"/>
    <n v="51.751111111111108"/>
    <m/>
    <m/>
    <n v="0"/>
    <n v="0"/>
  </r>
  <r>
    <x v="13"/>
    <s v="Ranger College "/>
    <n v="227687"/>
    <x v="8"/>
    <s v="sem"/>
    <s v="sem"/>
    <n v="7283"/>
    <n v="7011"/>
    <n v="1170"/>
    <n v="1045"/>
    <n v="396"/>
    <n v="281"/>
    <n v="10033"/>
    <n v="10390"/>
    <n v="18882"/>
    <n v="629.4"/>
    <n v="18727"/>
    <n v="624.23333333333335"/>
    <n v="2816"/>
    <n v="3570"/>
    <n v="18882"/>
    <n v="18727"/>
    <n v="215"/>
    <n v="2505"/>
    <n v="2356"/>
    <n v="672"/>
    <n v="1764"/>
    <n v="3479"/>
    <n v="161"/>
    <n v="455"/>
    <n v="4496"/>
    <n v="4.9955555555555557"/>
    <n v="7111"/>
    <n v="7.9011111111111108"/>
    <m/>
    <m/>
    <n v="0"/>
    <n v="0"/>
  </r>
  <r>
    <x v="13"/>
    <s v="Southwest Collegiate Institute for the Deaf (HCJCD)"/>
    <n v="382911"/>
    <x v="8"/>
    <s v="sem"/>
    <s v="sem"/>
    <n v="1011"/>
    <n v="1127"/>
    <n v="0"/>
    <n v="0"/>
    <n v="0"/>
    <n v="0"/>
    <n v="1072"/>
    <n v="1014"/>
    <n v="2083"/>
    <n v="69.433333333333337"/>
    <n v="2141"/>
    <n v="71.36666666666666"/>
    <m/>
    <m/>
    <n v="0"/>
    <n v="0"/>
    <n v="0"/>
    <n v="0"/>
    <n v="0"/>
    <n v="0"/>
    <n v="0"/>
    <n v="0"/>
    <n v="0"/>
    <n v="0"/>
    <n v="0"/>
    <n v="0"/>
    <n v="0"/>
    <n v="0"/>
    <m/>
    <m/>
    <n v="0"/>
    <n v="0"/>
  </r>
  <r>
    <x v="13"/>
    <s v="Texas State Technical College-Marshall"/>
    <n v="408394"/>
    <x v="8"/>
    <s v="sem"/>
    <s v="sem"/>
    <n v="6166"/>
    <n v="6839"/>
    <n v="4064"/>
    <n v="5349"/>
    <n v="0"/>
    <n v="0"/>
    <n v="7644"/>
    <n v="9000"/>
    <n v="17874"/>
    <n v="595.79999999999995"/>
    <n v="21188"/>
    <n v="706.26666666666665"/>
    <n v="2520"/>
    <n v="2882"/>
    <n v="17874"/>
    <n v="21188"/>
    <n v="7512"/>
    <n v="6066"/>
    <n v="10156"/>
    <n v="4926"/>
    <n v="5532"/>
    <n v="8762"/>
    <n v="6310"/>
    <n v="6887"/>
    <n v="29510"/>
    <n v="32.788888888888891"/>
    <n v="26641"/>
    <n v="29.601111111111113"/>
    <m/>
    <m/>
    <n v="0"/>
    <n v="0"/>
  </r>
  <r>
    <x v="13"/>
    <s v="Texas State Technical College-West Texas"/>
    <n v="229328"/>
    <x v="8"/>
    <s v="sem"/>
    <s v="sem"/>
    <n v="14505"/>
    <n v="15939"/>
    <n v="12792"/>
    <n v="12551"/>
    <n v="0"/>
    <n v="0"/>
    <n v="15670"/>
    <n v="15350"/>
    <n v="42967"/>
    <n v="1432.2333333333333"/>
    <n v="43840"/>
    <n v="1461.3333333333333"/>
    <n v="3975"/>
    <n v="3680"/>
    <n v="42967"/>
    <n v="43840"/>
    <n v="56447"/>
    <n v="19356"/>
    <n v="112373"/>
    <n v="1448"/>
    <n v="107082"/>
    <n v="1982"/>
    <n v="21241"/>
    <n v="4968"/>
    <n v="297143"/>
    <n v="330.1588888888889"/>
    <n v="27754"/>
    <n v="30.837777777777777"/>
    <m/>
    <m/>
    <n v="0"/>
    <n v="0"/>
  </r>
  <r>
    <x v="13"/>
    <s v="Western Texas College "/>
    <n v="229832"/>
    <x v="8"/>
    <s v="sem"/>
    <s v="sem"/>
    <n v="14873"/>
    <n v="16065"/>
    <n v="8903"/>
    <n v="8600"/>
    <n v="2233"/>
    <n v="2121"/>
    <n v="15275"/>
    <n v="18928"/>
    <n v="41284"/>
    <n v="1376.1333333333334"/>
    <n v="45714"/>
    <n v="1523.8"/>
    <n v="3416"/>
    <n v="5585"/>
    <n v="41284"/>
    <n v="45714"/>
    <n v="17492"/>
    <n v="75657"/>
    <n v="21182"/>
    <n v="72621"/>
    <n v="9357"/>
    <n v="59683"/>
    <n v="92301"/>
    <n v="63847"/>
    <n v="140332"/>
    <n v="155.92444444444445"/>
    <n v="271808"/>
    <n v="302.00888888888886"/>
    <m/>
    <m/>
    <n v="0"/>
    <n v="0"/>
  </r>
  <r>
    <x v="13"/>
    <s v="Alamo Community College District (ACCD)"/>
    <m/>
    <x v="14"/>
    <s v="sem"/>
    <s v="sem"/>
    <n v="420371"/>
    <n v="450683"/>
    <n v="113775"/>
    <n v="128909"/>
    <n v="32653"/>
    <n v="36948"/>
    <n v="433344"/>
    <n v="484687"/>
    <n v="1000143"/>
    <n v="33338.1"/>
    <n v="1101227"/>
    <n v="36707.566666666666"/>
    <n v="59184"/>
    <n v="70008"/>
    <n v="1000143"/>
    <n v="1101227"/>
    <n v="206008"/>
    <n v="219760"/>
    <n v="147099"/>
    <n v="145394"/>
    <n v="193408"/>
    <n v="197326"/>
    <n v="297098"/>
    <n v="234170"/>
    <n v="843613"/>
    <n v="937.34777777777776"/>
    <n v="796650"/>
    <n v="885.16666666666663"/>
    <m/>
    <m/>
    <n v="0"/>
    <n v="0"/>
  </r>
  <r>
    <x v="13"/>
    <s v="Dallas County Community College District (DCCD)"/>
    <m/>
    <x v="14"/>
    <s v="sem"/>
    <s v="sem"/>
    <n v="329693"/>
    <n v="370872"/>
    <n v="124144"/>
    <n v="101181"/>
    <n v="61311"/>
    <n v="91987"/>
    <n v="316483"/>
    <n v="344609"/>
    <n v="831631"/>
    <n v="27721.033333333333"/>
    <n v="908649"/>
    <n v="30288.3"/>
    <n v="48160"/>
    <n v="57534"/>
    <n v="831631"/>
    <n v="908649"/>
    <n v="400320"/>
    <n v="425253"/>
    <n v="390592"/>
    <n v="382833"/>
    <n v="388149"/>
    <n v="417726"/>
    <n v="560720"/>
    <n v="542184"/>
    <n v="1739781"/>
    <n v="1933.09"/>
    <n v="1767996"/>
    <n v="1964.44"/>
    <m/>
    <m/>
    <n v="0"/>
    <n v="0"/>
  </r>
  <r>
    <x v="13"/>
    <s v="Dallas County Community College District (DCCD)"/>
    <m/>
    <x v="15"/>
    <s v="sem"/>
    <s v="sem"/>
    <n v="131588"/>
    <n v="156032"/>
    <n v="44686"/>
    <n v="44160"/>
    <n v="21657"/>
    <n v="24520"/>
    <n v="135438"/>
    <n v="156448"/>
    <n v="333369"/>
    <n v="11112.3"/>
    <n v="381160"/>
    <n v="12705.333333333334"/>
    <n v="18261"/>
    <n v="27262"/>
    <n v="333369"/>
    <n v="381160"/>
    <n v="295730"/>
    <n v="421242"/>
    <n v="391747"/>
    <n v="543772"/>
    <n v="427626"/>
    <n v="472009"/>
    <n v="505346"/>
    <n v="600098"/>
    <n v="1620449"/>
    <n v="1800.4988888888888"/>
    <n v="2037121"/>
    <n v="2263.4677777777779"/>
    <m/>
    <m/>
    <n v="0"/>
    <n v="0"/>
  </r>
  <r>
    <x v="13"/>
    <s v="Howard County Community/Junior College District (HCJCD)"/>
    <m/>
    <x v="15"/>
    <s v="sem"/>
    <s v="sem"/>
    <n v="26299"/>
    <n v="29219"/>
    <n v="4842"/>
    <n v="5143"/>
    <n v="2238"/>
    <n v="2216"/>
    <n v="28526"/>
    <n v="34176"/>
    <n v="61905"/>
    <n v="2063.5"/>
    <n v="70754"/>
    <n v="2358.4666666666667"/>
    <n v="11052"/>
    <n v="13550"/>
    <n v="61905"/>
    <n v="70754"/>
    <n v="215791"/>
    <n v="235084"/>
    <n v="255640"/>
    <n v="203040"/>
    <n v="244486"/>
    <n v="201376"/>
    <n v="249635"/>
    <n v="245653"/>
    <n v="965552"/>
    <n v="1072.8355555555556"/>
    <n v="885153"/>
    <n v="983.50333333333333"/>
    <m/>
    <m/>
    <n v="0"/>
    <n v="0"/>
  </r>
  <r>
    <x v="13"/>
    <s v="Alamo Community College District (ACCD)"/>
    <m/>
    <x v="16"/>
    <s v="sem"/>
    <s v="sem"/>
    <n v="1527"/>
    <n v="3968"/>
    <n v="763"/>
    <n v="696"/>
    <n v="689"/>
    <n v="402"/>
    <n v="3836"/>
    <n v="5095"/>
    <n v="6815"/>
    <n v="227.16666666666666"/>
    <n v="10161"/>
    <n v="338.7"/>
    <n v="13"/>
    <n v="3"/>
    <n v="6815"/>
    <n v="10161"/>
    <n v="0"/>
    <n v="0"/>
    <n v="0"/>
    <n v="3056"/>
    <n v="0"/>
    <n v="2776"/>
    <n v="0"/>
    <n v="3216"/>
    <n v="0"/>
    <n v="0"/>
    <n v="9048"/>
    <n v="10.053333333333333"/>
    <m/>
    <m/>
    <n v="0"/>
    <n v="0"/>
  </r>
  <r>
    <x v="13"/>
    <s v="Howard County Community/Junior College District (HCJCD)"/>
    <m/>
    <x v="16"/>
    <s v="sem"/>
    <s v="sem"/>
    <n v="1011"/>
    <n v="1127"/>
    <n v="0"/>
    <n v="0"/>
    <n v="0"/>
    <n v="0"/>
    <n v="1072"/>
    <n v="1014"/>
    <n v="2083"/>
    <n v="69.433333333333337"/>
    <n v="2141"/>
    <n v="71.36666666666666"/>
    <n v="0"/>
    <n v="0"/>
    <n v="2083"/>
    <n v="2141"/>
    <n v="0"/>
    <n v="0"/>
    <n v="0"/>
    <n v="0"/>
    <n v="0"/>
    <n v="0"/>
    <n v="0"/>
    <n v="0"/>
    <n v="0"/>
    <n v="0"/>
    <n v="0"/>
    <n v="0"/>
    <m/>
    <m/>
    <n v="0"/>
    <n v="0"/>
  </r>
  <r>
    <x v="13"/>
    <s v="Alamo Community College District (ACCD)"/>
    <m/>
    <x v="17"/>
    <s v="sem"/>
    <s v="sem"/>
    <n v="421898"/>
    <n v="454651"/>
    <n v="114538"/>
    <n v="129605"/>
    <n v="33342"/>
    <n v="37350"/>
    <n v="437180"/>
    <n v="489782"/>
    <n v="1006958"/>
    <n v="33565.26666666667"/>
    <n v="1111388"/>
    <n v="37046.26666666667"/>
    <n v="59197"/>
    <n v="70011"/>
    <n v="1006958"/>
    <n v="1111388"/>
    <n v="206008"/>
    <n v="219760"/>
    <n v="147099"/>
    <n v="148450"/>
    <n v="193408"/>
    <n v="200102"/>
    <n v="297098"/>
    <n v="237386"/>
    <n v="843613"/>
    <n v="937.34777777777776"/>
    <n v="805698"/>
    <n v="895.22"/>
    <m/>
    <m/>
    <n v="0"/>
    <n v="0"/>
  </r>
  <r>
    <x v="13"/>
    <s v="Dallas County Community College District (DCCD)"/>
    <m/>
    <x v="17"/>
    <s v="sem"/>
    <s v="sem"/>
    <n v="461281"/>
    <n v="526904"/>
    <n v="168830"/>
    <n v="145341"/>
    <n v="82968"/>
    <n v="116507"/>
    <n v="451921"/>
    <n v="501057"/>
    <n v="1165000"/>
    <n v="38833.333333333336"/>
    <n v="1289809"/>
    <n v="42993.633333333331"/>
    <n v="66421"/>
    <n v="84796"/>
    <n v="1165000"/>
    <n v="1289809"/>
    <n v="696050"/>
    <n v="846495"/>
    <n v="782339"/>
    <n v="926605"/>
    <n v="815775"/>
    <n v="889735"/>
    <n v="1066066"/>
    <n v="1142282"/>
    <n v="3360230"/>
    <n v="3733.588888888889"/>
    <n v="3805117"/>
    <n v="4227.9077777777775"/>
    <m/>
    <m/>
    <n v="0"/>
    <n v="0"/>
  </r>
  <r>
    <x v="13"/>
    <s v="Howard County Community/Junior College District (HCJCD)"/>
    <m/>
    <x v="17"/>
    <s v="sem"/>
    <s v="sem"/>
    <n v="27310"/>
    <n v="30346"/>
    <n v="4842"/>
    <n v="5143"/>
    <n v="2238"/>
    <n v="2216"/>
    <n v="29598"/>
    <n v="35190"/>
    <n v="63988"/>
    <n v="2132.9333333333334"/>
    <n v="72895"/>
    <n v="2429.8333333333335"/>
    <n v="11052"/>
    <n v="13550"/>
    <n v="63988"/>
    <n v="72895"/>
    <n v="215791"/>
    <n v="235084"/>
    <n v="255640"/>
    <n v="203040"/>
    <n v="244486"/>
    <n v="201376"/>
    <n v="249635"/>
    <n v="245653"/>
    <n v="965552"/>
    <n v="1072.8355555555556"/>
    <n v="885153"/>
    <n v="983.50333333333333"/>
    <m/>
    <m/>
    <n v="0"/>
    <n v="0"/>
  </r>
  <r>
    <x v="13"/>
    <s v="TEXAS A&amp;M UNIV-CENTRAL TEXAS"/>
    <s v="???"/>
    <x v="12"/>
    <m/>
    <m/>
    <m/>
    <m/>
    <m/>
    <m/>
    <m/>
    <m/>
    <m/>
    <n v="9877"/>
    <n v="0"/>
    <n v="0"/>
    <n v="9877"/>
    <n v="329.23333333333335"/>
    <m/>
    <m/>
    <n v="0"/>
    <n v="0"/>
    <m/>
    <m/>
    <m/>
    <m/>
    <m/>
    <m/>
    <m/>
    <m/>
    <n v="0"/>
    <n v="0"/>
    <n v="0"/>
    <n v="0"/>
    <m/>
    <m/>
    <n v="0"/>
    <n v="0"/>
  </r>
  <r>
    <x v="13"/>
    <s v="TEXAS A&amp;M UNIV-SAN ANTONIO"/>
    <s v="???"/>
    <x v="12"/>
    <m/>
    <m/>
    <m/>
    <m/>
    <m/>
    <m/>
    <m/>
    <m/>
    <m/>
    <n v="16090"/>
    <n v="0"/>
    <n v="0"/>
    <n v="16090"/>
    <n v="536.33333333333337"/>
    <m/>
    <m/>
    <n v="0"/>
    <n v="0"/>
    <m/>
    <m/>
    <m/>
    <m/>
    <m/>
    <m/>
    <m/>
    <m/>
    <n v="0"/>
    <n v="0"/>
    <n v="0"/>
    <n v="0"/>
    <m/>
    <m/>
    <n v="0"/>
    <n v="0"/>
  </r>
  <r>
    <x v="13"/>
    <s v="UNIV. OF NORTH TEXAS AT DALLAS"/>
    <s v="???"/>
    <x v="12"/>
    <m/>
    <m/>
    <m/>
    <m/>
    <m/>
    <m/>
    <m/>
    <m/>
    <m/>
    <n v="12575"/>
    <n v="0"/>
    <n v="0"/>
    <n v="12575"/>
    <n v="419.16666666666669"/>
    <m/>
    <m/>
    <n v="0"/>
    <n v="0"/>
    <m/>
    <m/>
    <m/>
    <m/>
    <m/>
    <m/>
    <m/>
    <m/>
    <n v="0"/>
    <n v="0"/>
    <n v="0"/>
    <n v="0"/>
    <m/>
    <m/>
    <n v="0"/>
    <n v="0"/>
  </r>
  <r>
    <x v="14"/>
    <s v="George Mason University "/>
    <n v="232186"/>
    <x v="0"/>
    <s v="sem"/>
    <s v="sem"/>
    <m/>
    <m/>
    <n v="220129"/>
    <n v="236755"/>
    <n v="44618"/>
    <n v="43038"/>
    <n v="236127"/>
    <n v="250183"/>
    <n v="500874"/>
    <n v="16695.8"/>
    <n v="529976"/>
    <n v="17665.866666666665"/>
    <n v="554"/>
    <n v="1386"/>
    <n v="500874"/>
    <n v="529976"/>
    <m/>
    <m/>
    <m/>
    <m/>
    <m/>
    <m/>
    <m/>
    <m/>
    <n v="0"/>
    <n v="0"/>
    <n v="0"/>
    <n v="0"/>
    <m/>
    <m/>
    <n v="0"/>
    <n v="0"/>
  </r>
  <r>
    <x v="14"/>
    <s v="Old Dominion University "/>
    <n v="232982"/>
    <x v="0"/>
    <s v="sem"/>
    <s v="sem"/>
    <m/>
    <m/>
    <n v="179804.5"/>
    <n v="206152"/>
    <n v="44342"/>
    <n v="44750"/>
    <n v="205704"/>
    <n v="218179"/>
    <n v="429850.5"/>
    <n v="14328.35"/>
    <n v="469081"/>
    <n v="15636.033333333333"/>
    <n v="136"/>
    <n v="107"/>
    <n v="429850.5"/>
    <n v="469081"/>
    <m/>
    <m/>
    <m/>
    <m/>
    <m/>
    <m/>
    <m/>
    <m/>
    <n v="0"/>
    <n v="0"/>
    <n v="0"/>
    <n v="0"/>
    <m/>
    <m/>
    <n v="0"/>
    <n v="0"/>
  </r>
  <r>
    <x v="14"/>
    <s v="University of Virginia"/>
    <n v="234076"/>
    <x v="0"/>
    <s v="sem"/>
    <s v="sem"/>
    <m/>
    <m/>
    <n v="213191"/>
    <n v="216412"/>
    <n v="28682"/>
    <n v="28953"/>
    <n v="219549"/>
    <n v="225092"/>
    <n v="461422"/>
    <n v="15380.733333333334"/>
    <n v="470457"/>
    <n v="15681.9"/>
    <n v="0"/>
    <n v="0"/>
    <n v="461422"/>
    <n v="470457"/>
    <m/>
    <m/>
    <m/>
    <m/>
    <m/>
    <m/>
    <m/>
    <m/>
    <n v="0"/>
    <n v="0"/>
    <n v="0"/>
    <n v="0"/>
    <m/>
    <m/>
    <n v="0"/>
    <n v="0"/>
  </r>
  <r>
    <x v="14"/>
    <s v="Virginia Tech "/>
    <n v="233921"/>
    <x v="0"/>
    <s v="sem"/>
    <s v="sem"/>
    <m/>
    <m/>
    <n v="330036"/>
    <n v="362577"/>
    <n v="35927"/>
    <n v="37979"/>
    <n v="358013"/>
    <n v="358169"/>
    <n v="723976"/>
    <n v="24132.533333333333"/>
    <n v="758725"/>
    <n v="25290.833333333332"/>
    <n v="0"/>
    <n v="0"/>
    <n v="723976"/>
    <n v="758725"/>
    <m/>
    <m/>
    <m/>
    <m/>
    <m/>
    <m/>
    <m/>
    <m/>
    <n v="0"/>
    <n v="0"/>
    <n v="0"/>
    <n v="0"/>
    <m/>
    <m/>
    <n v="0"/>
    <n v="0"/>
  </r>
  <r>
    <x v="14"/>
    <s v="College of William &amp; Mary"/>
    <n v="231624"/>
    <x v="1"/>
    <s v="sem"/>
    <s v="sem"/>
    <m/>
    <m/>
    <n v="79503.5"/>
    <n v="83638"/>
    <n v="5379"/>
    <n v="7454"/>
    <n v="84133"/>
    <n v="83971"/>
    <n v="169015.5"/>
    <n v="5633.85"/>
    <n v="175063"/>
    <n v="5835.4333333333334"/>
    <n v="0"/>
    <n v="0"/>
    <n v="169015.5"/>
    <n v="175063"/>
    <m/>
    <m/>
    <m/>
    <m/>
    <m/>
    <m/>
    <m/>
    <m/>
    <n v="0"/>
    <n v="0"/>
    <n v="0"/>
    <n v="0"/>
    <m/>
    <m/>
    <n v="0"/>
    <n v="0"/>
  </r>
  <r>
    <x v="14"/>
    <s v="Virginia Commonwealth University"/>
    <n v="234030"/>
    <x v="1"/>
    <s v="sem"/>
    <s v="sem"/>
    <m/>
    <m/>
    <n v="268479.5"/>
    <n v="296848"/>
    <n v="42855.5"/>
    <n v="43401.5"/>
    <n v="295423"/>
    <n v="305196"/>
    <n v="606758"/>
    <n v="20225.266666666666"/>
    <n v="645445.5"/>
    <n v="21514.85"/>
    <n v="2785"/>
    <n v="3884"/>
    <n v="606758"/>
    <n v="645445.5"/>
    <m/>
    <m/>
    <m/>
    <m/>
    <m/>
    <m/>
    <m/>
    <m/>
    <n v="0"/>
    <n v="0"/>
    <n v="0"/>
    <n v="0"/>
    <m/>
    <m/>
    <n v="0"/>
    <n v="0"/>
  </r>
  <r>
    <x v="14"/>
    <s v="James Madison University  "/>
    <n v="232423"/>
    <x v="2"/>
    <s v="sem"/>
    <s v="sem"/>
    <m/>
    <m/>
    <n v="226989"/>
    <n v="248467"/>
    <n v="24679"/>
    <n v="25703"/>
    <n v="248014"/>
    <n v="252949"/>
    <n v="499682"/>
    <n v="16656.066666666666"/>
    <n v="527119"/>
    <n v="17570.633333333335"/>
    <n v="1026"/>
    <n v="1603"/>
    <n v="499682"/>
    <n v="527119"/>
    <m/>
    <m/>
    <m/>
    <m/>
    <m/>
    <m/>
    <m/>
    <m/>
    <n v="0"/>
    <n v="0"/>
    <n v="0"/>
    <n v="0"/>
    <m/>
    <m/>
    <n v="0"/>
    <n v="0"/>
  </r>
  <r>
    <x v="14"/>
    <s v="Norfolk State University "/>
    <n v="232937"/>
    <x v="2"/>
    <s v="sem"/>
    <s v="sem"/>
    <m/>
    <m/>
    <n v="63301"/>
    <n v="71093"/>
    <n v="7578"/>
    <n v="7877"/>
    <n v="72561"/>
    <n v="79430"/>
    <n v="143440"/>
    <n v="4781.333333333333"/>
    <n v="158400"/>
    <n v="5280"/>
    <n v="39"/>
    <n v="133"/>
    <n v="143440"/>
    <n v="158400"/>
    <m/>
    <m/>
    <m/>
    <m/>
    <m/>
    <m/>
    <m/>
    <m/>
    <n v="0"/>
    <n v="0"/>
    <n v="0"/>
    <n v="0"/>
    <m/>
    <m/>
    <n v="0"/>
    <n v="0"/>
  </r>
  <r>
    <x v="14"/>
    <s v="Radford University"/>
    <n v="233277"/>
    <x v="3"/>
    <s v="sem"/>
    <s v="sem"/>
    <m/>
    <m/>
    <n v="108160"/>
    <n v="119931"/>
    <n v="13292"/>
    <n v="11865"/>
    <n v="119539"/>
    <n v="113607"/>
    <n v="240991"/>
    <n v="8033.0333333333338"/>
    <n v="245403"/>
    <n v="8180.1"/>
    <n v="0"/>
    <n v="0"/>
    <n v="240991"/>
    <n v="245403"/>
    <m/>
    <m/>
    <m/>
    <m/>
    <m/>
    <m/>
    <m/>
    <m/>
    <n v="0"/>
    <n v="0"/>
    <n v="0"/>
    <n v="0"/>
    <m/>
    <m/>
    <n v="0"/>
    <n v="0"/>
  </r>
  <r>
    <x v="14"/>
    <s v="Virginia State University "/>
    <n v="234155"/>
    <x v="3"/>
    <s v="sem"/>
    <s v="sem"/>
    <m/>
    <m/>
    <n v="56311"/>
    <n v="69015"/>
    <n v="4202"/>
    <n v="5843"/>
    <n v="64940"/>
    <n v="72100"/>
    <n v="125453"/>
    <n v="4181.7666666666664"/>
    <n v="146958"/>
    <n v="4898.6000000000004"/>
    <n v="0"/>
    <n v="0"/>
    <n v="125453"/>
    <n v="146958"/>
    <m/>
    <m/>
    <m/>
    <m/>
    <m/>
    <m/>
    <m/>
    <m/>
    <n v="0"/>
    <n v="0"/>
    <n v="0"/>
    <n v="0"/>
    <m/>
    <m/>
    <n v="0"/>
    <n v="0"/>
  </r>
  <r>
    <x v="14"/>
    <s v="Christopher Newport University"/>
    <n v="231712"/>
    <x v="4"/>
    <s v="sem"/>
    <s v="sem"/>
    <m/>
    <m/>
    <n v="64515"/>
    <n v="69113"/>
    <n v="3467"/>
    <n v="3422"/>
    <n v="69310"/>
    <n v="69689"/>
    <n v="137292"/>
    <n v="4576.3999999999996"/>
    <n v="142224"/>
    <n v="4740.8"/>
    <n v="94"/>
    <n v="156"/>
    <n v="137292"/>
    <n v="142224"/>
    <m/>
    <m/>
    <m/>
    <m/>
    <m/>
    <m/>
    <m/>
    <m/>
    <n v="0"/>
    <n v="0"/>
    <n v="0"/>
    <n v="0"/>
    <m/>
    <m/>
    <n v="0"/>
    <n v="0"/>
  </r>
  <r>
    <x v="14"/>
    <s v="Longwood University "/>
    <n v="232566"/>
    <x v="4"/>
    <s v="sem"/>
    <s v="sem"/>
    <m/>
    <m/>
    <n v="51535"/>
    <n v="58919"/>
    <n v="7528"/>
    <n v="7683"/>
    <n v="57950"/>
    <n v="58279"/>
    <n v="117013"/>
    <n v="3900.4333333333334"/>
    <n v="124881"/>
    <n v="4162.7"/>
    <n v="4"/>
    <n v="0"/>
    <n v="117013"/>
    <n v="124881"/>
    <m/>
    <m/>
    <m/>
    <m/>
    <m/>
    <m/>
    <m/>
    <m/>
    <n v="0"/>
    <n v="0"/>
    <n v="0"/>
    <n v="0"/>
    <m/>
    <m/>
    <n v="0"/>
    <n v="0"/>
  </r>
  <r>
    <x v="14"/>
    <s v="University of Mary Washington "/>
    <n v="232681"/>
    <x v="4"/>
    <s v="sem"/>
    <s v="sem"/>
    <m/>
    <m/>
    <n v="57069"/>
    <n v="59348"/>
    <n v="6087"/>
    <n v="6402"/>
    <n v="57059"/>
    <n v="58430"/>
    <n v="120215"/>
    <n v="4007.1666666666665"/>
    <n v="124180"/>
    <n v="4139.333333333333"/>
    <n v="36"/>
    <n v="50"/>
    <n v="120215"/>
    <n v="124180"/>
    <m/>
    <m/>
    <m/>
    <m/>
    <m/>
    <m/>
    <m/>
    <m/>
    <n v="0"/>
    <n v="0"/>
    <n v="0"/>
    <n v="0"/>
    <m/>
    <m/>
    <n v="0"/>
    <n v="0"/>
  </r>
  <r>
    <x v="14"/>
    <s v="University of Virginia's College at Wise "/>
    <n v="233897"/>
    <x v="5"/>
    <s v="sem"/>
    <s v="sem"/>
    <m/>
    <m/>
    <n v="21897"/>
    <n v="24732.5"/>
    <n v="3129"/>
    <n v="2788"/>
    <n v="23703"/>
    <n v="24352"/>
    <n v="48729"/>
    <n v="1624.3"/>
    <n v="51872.5"/>
    <n v="1729.0833333333333"/>
    <n v="84"/>
    <n v="142"/>
    <n v="48729"/>
    <n v="51872.5"/>
    <m/>
    <m/>
    <m/>
    <m/>
    <m/>
    <m/>
    <m/>
    <m/>
    <n v="0"/>
    <n v="0"/>
    <n v="0"/>
    <n v="0"/>
    <m/>
    <m/>
    <n v="0"/>
    <n v="0"/>
  </r>
  <r>
    <x v="14"/>
    <s v="J.S. Reynolds Community College"/>
    <n v="232414"/>
    <x v="6"/>
    <s v="sem"/>
    <s v="sem"/>
    <m/>
    <m/>
    <n v="84335"/>
    <n v="99470"/>
    <n v="28496"/>
    <n v="30658"/>
    <n v="99537"/>
    <n v="105206"/>
    <n v="212368"/>
    <n v="7078.9333333333334"/>
    <n v="235334"/>
    <n v="7844.4666666666662"/>
    <n v="20452"/>
    <n v="26703"/>
    <n v="212368"/>
    <n v="235334"/>
    <m/>
    <m/>
    <m/>
    <m/>
    <m/>
    <m/>
    <m/>
    <m/>
    <n v="0"/>
    <n v="0"/>
    <n v="0"/>
    <n v="0"/>
    <m/>
    <m/>
    <n v="0"/>
    <n v="0"/>
  </r>
  <r>
    <x v="14"/>
    <s v="Northern Virginia Community College "/>
    <n v="232946"/>
    <x v="6"/>
    <s v="sem"/>
    <s v="sem"/>
    <m/>
    <m/>
    <n v="338972"/>
    <n v="370604"/>
    <n v="131229"/>
    <n v="139824"/>
    <n v="370651"/>
    <n v="415694"/>
    <n v="840852"/>
    <n v="28028.400000000001"/>
    <n v="926122"/>
    <n v="30870.733333333334"/>
    <n v="17183"/>
    <n v="21309"/>
    <n v="840852"/>
    <n v="926122"/>
    <m/>
    <m/>
    <m/>
    <m/>
    <m/>
    <m/>
    <m/>
    <m/>
    <n v="0"/>
    <n v="0"/>
    <n v="0"/>
    <n v="0"/>
    <m/>
    <m/>
    <n v="0"/>
    <n v="0"/>
  </r>
  <r>
    <x v="14"/>
    <s v="Thomas Nelson Community College "/>
    <n v="233754"/>
    <x v="6"/>
    <s v="sem"/>
    <s v="sem"/>
    <m/>
    <m/>
    <n v="69027"/>
    <n v="83275"/>
    <n v="21470"/>
    <n v="21903"/>
    <n v="83283"/>
    <n v="89517"/>
    <n v="173780"/>
    <n v="5792.666666666667"/>
    <n v="194695"/>
    <n v="6489.833333333333"/>
    <n v="12054"/>
    <n v="17535"/>
    <n v="173780"/>
    <n v="194695"/>
    <m/>
    <m/>
    <m/>
    <m/>
    <m/>
    <m/>
    <m/>
    <m/>
    <n v="0"/>
    <n v="0"/>
    <n v="0"/>
    <n v="0"/>
    <m/>
    <m/>
    <n v="0"/>
    <n v="0"/>
  </r>
  <r>
    <x v="14"/>
    <s v="Tidewater Community College "/>
    <n v="233772"/>
    <x v="6"/>
    <s v="sem"/>
    <s v="sem"/>
    <m/>
    <m/>
    <n v="216377"/>
    <n v="235450"/>
    <n v="74013"/>
    <n v="77845"/>
    <n v="235637"/>
    <n v="277684"/>
    <n v="526027"/>
    <n v="17534.233333333334"/>
    <n v="590979"/>
    <n v="19699.3"/>
    <n v="11423"/>
    <n v="18160"/>
    <n v="526027"/>
    <n v="590979"/>
    <m/>
    <m/>
    <m/>
    <m/>
    <m/>
    <m/>
    <m/>
    <m/>
    <n v="0"/>
    <n v="0"/>
    <n v="0"/>
    <n v="0"/>
    <m/>
    <m/>
    <n v="0"/>
    <n v="0"/>
  </r>
  <r>
    <x v="14"/>
    <s v="Blue Ridge Community College "/>
    <n v="231536"/>
    <x v="7"/>
    <s v="sem"/>
    <s v="sem"/>
    <m/>
    <m/>
    <n v="33507"/>
    <n v="38877"/>
    <n v="8363"/>
    <n v="8189"/>
    <n v="38881"/>
    <n v="43326"/>
    <n v="80751"/>
    <n v="2691.7"/>
    <n v="90392"/>
    <n v="3013.0666666666666"/>
    <n v="4423"/>
    <n v="8580"/>
    <n v="80751"/>
    <n v="90392"/>
    <m/>
    <m/>
    <m/>
    <m/>
    <m/>
    <m/>
    <m/>
    <m/>
    <n v="0"/>
    <n v="0"/>
    <n v="0"/>
    <n v="0"/>
    <m/>
    <m/>
    <n v="0"/>
    <n v="0"/>
  </r>
  <r>
    <x v="14"/>
    <s v="Central Virginia Community College "/>
    <n v="231697"/>
    <x v="7"/>
    <s v="sem"/>
    <s v="sem"/>
    <m/>
    <m/>
    <n v="30181"/>
    <n v="37554"/>
    <n v="8632"/>
    <n v="8723"/>
    <n v="37629"/>
    <n v="41170"/>
    <n v="76442"/>
    <n v="2548.0666666666666"/>
    <n v="87447"/>
    <n v="2914.9"/>
    <n v="11400"/>
    <n v="18560"/>
    <n v="76442"/>
    <n v="87447"/>
    <m/>
    <m/>
    <m/>
    <m/>
    <m/>
    <m/>
    <m/>
    <m/>
    <n v="0"/>
    <n v="0"/>
    <n v="0"/>
    <n v="0"/>
    <m/>
    <m/>
    <n v="0"/>
    <n v="0"/>
  </r>
  <r>
    <x v="14"/>
    <s v="Danville Community College "/>
    <n v="231882"/>
    <x v="7"/>
    <s v="sem"/>
    <s v="sem"/>
    <m/>
    <m/>
    <n v="32490"/>
    <n v="30777"/>
    <n v="11254"/>
    <n v="9870"/>
    <n v="30798"/>
    <n v="35273"/>
    <n v="74542"/>
    <n v="2484.7333333333331"/>
    <n v="75920"/>
    <n v="2530.6666666666665"/>
    <n v="12237"/>
    <n v="18838"/>
    <n v="74542"/>
    <n v="75920"/>
    <m/>
    <m/>
    <m/>
    <m/>
    <m/>
    <m/>
    <m/>
    <m/>
    <n v="0"/>
    <n v="0"/>
    <n v="0"/>
    <n v="0"/>
    <m/>
    <m/>
    <n v="0"/>
    <n v="0"/>
  </r>
  <r>
    <x v="14"/>
    <s v="Germanna Community College"/>
    <n v="232195"/>
    <x v="7"/>
    <s v="sem"/>
    <s v="sem"/>
    <m/>
    <m/>
    <n v="43364"/>
    <n v="52370"/>
    <n v="10506"/>
    <n v="11894"/>
    <n v="52417"/>
    <n v="58763"/>
    <n v="106287"/>
    <n v="3542.9"/>
    <n v="123027"/>
    <n v="4100.8999999999996"/>
    <n v="9410"/>
    <n v="15778"/>
    <n v="106287"/>
    <n v="123027"/>
    <m/>
    <m/>
    <m/>
    <m/>
    <m/>
    <m/>
    <m/>
    <m/>
    <n v="0"/>
    <n v="0"/>
    <n v="0"/>
    <n v="0"/>
    <m/>
    <m/>
    <n v="0"/>
    <n v="0"/>
  </r>
  <r>
    <x v="14"/>
    <s v="John Tyler Community College"/>
    <n v="232450"/>
    <x v="7"/>
    <s v="sem"/>
    <s v="sem"/>
    <m/>
    <m/>
    <n v="56741"/>
    <n v="65767"/>
    <n v="17823"/>
    <n v="18374"/>
    <n v="65828"/>
    <n v="76777"/>
    <n v="140392"/>
    <n v="4679.7333333333336"/>
    <n v="160918"/>
    <n v="5363.9333333333334"/>
    <n v="17805"/>
    <n v="29960"/>
    <n v="140392"/>
    <n v="160918"/>
    <m/>
    <m/>
    <m/>
    <m/>
    <m/>
    <m/>
    <m/>
    <m/>
    <n v="0"/>
    <n v="0"/>
    <n v="0"/>
    <n v="0"/>
    <m/>
    <m/>
    <n v="0"/>
    <n v="0"/>
  </r>
  <r>
    <x v="14"/>
    <s v="Lord Fairfax Community College  "/>
    <n v="232575"/>
    <x v="7"/>
    <s v="sem"/>
    <s v="sem"/>
    <m/>
    <m/>
    <n v="38657"/>
    <n v="47948"/>
    <n v="9985"/>
    <n v="10068"/>
    <n v="47958"/>
    <n v="54675"/>
    <n v="96600"/>
    <n v="3220"/>
    <n v="112691"/>
    <n v="3756.3666666666668"/>
    <n v="15936"/>
    <n v="25704"/>
    <n v="96600"/>
    <n v="112691"/>
    <m/>
    <m/>
    <m/>
    <m/>
    <m/>
    <m/>
    <m/>
    <m/>
    <n v="0"/>
    <n v="0"/>
    <n v="0"/>
    <n v="0"/>
    <m/>
    <m/>
    <n v="0"/>
    <n v="0"/>
  </r>
  <r>
    <x v="14"/>
    <s v="New River Community College "/>
    <n v="232867"/>
    <x v="7"/>
    <s v="sem"/>
    <s v="sem"/>
    <m/>
    <m/>
    <n v="37625"/>
    <n v="40277"/>
    <n v="8881"/>
    <n v="9455"/>
    <n v="40280"/>
    <n v="45243"/>
    <n v="86786"/>
    <n v="2892.8666666666668"/>
    <n v="94975"/>
    <n v="3165.8333333333335"/>
    <n v="10951"/>
    <n v="17770"/>
    <n v="86786"/>
    <n v="94975"/>
    <m/>
    <m/>
    <m/>
    <m/>
    <m/>
    <m/>
    <m/>
    <m/>
    <n v="0"/>
    <n v="0"/>
    <n v="0"/>
    <n v="0"/>
    <m/>
    <m/>
    <n v="0"/>
    <n v="0"/>
  </r>
  <r>
    <x v="14"/>
    <s v="Piedmont Virginia Community College "/>
    <n v="233116"/>
    <x v="7"/>
    <s v="sem"/>
    <s v="sem"/>
    <m/>
    <m/>
    <n v="32017"/>
    <n v="28919"/>
    <n v="7398"/>
    <n v="7433"/>
    <n v="36683"/>
    <n v="35576"/>
    <n v="76098"/>
    <n v="2536.6"/>
    <n v="71928"/>
    <n v="2397.6"/>
    <n v="11024"/>
    <n v="19122"/>
    <n v="76098"/>
    <n v="71928"/>
    <m/>
    <m/>
    <m/>
    <m/>
    <m/>
    <m/>
    <m/>
    <m/>
    <n v="0"/>
    <n v="0"/>
    <n v="0"/>
    <n v="0"/>
    <m/>
    <m/>
    <n v="0"/>
    <n v="0"/>
  </r>
  <r>
    <x v="14"/>
    <s v="Southside Virginia Community College  "/>
    <n v="233639"/>
    <x v="7"/>
    <s v="sem"/>
    <s v="sem"/>
    <m/>
    <m/>
    <n v="41097"/>
    <n v="36639"/>
    <n v="10380"/>
    <n v="8157"/>
    <n v="46203"/>
    <n v="39884"/>
    <n v="97680"/>
    <n v="3256"/>
    <n v="84680"/>
    <n v="2822.6666666666665"/>
    <n v="28253"/>
    <n v="17378"/>
    <n v="97680"/>
    <n v="84680"/>
    <m/>
    <m/>
    <m/>
    <m/>
    <m/>
    <m/>
    <m/>
    <m/>
    <n v="0"/>
    <n v="0"/>
    <n v="0"/>
    <n v="0"/>
    <m/>
    <m/>
    <n v="0"/>
    <n v="0"/>
  </r>
  <r>
    <x v="14"/>
    <s v="Southwest Virginia Community College "/>
    <n v="233648"/>
    <x v="7"/>
    <s v="sem"/>
    <s v="sem"/>
    <m/>
    <m/>
    <n v="28289"/>
    <n v="46173"/>
    <n v="10823"/>
    <n v="11808"/>
    <n v="31744"/>
    <n v="52684"/>
    <n v="70856"/>
    <n v="2361.8666666666668"/>
    <n v="110665"/>
    <n v="3688.8333333333335"/>
    <n v="7828"/>
    <n v="41035"/>
    <n v="70856"/>
    <n v="110665"/>
    <m/>
    <m/>
    <m/>
    <m/>
    <m/>
    <m/>
    <m/>
    <m/>
    <n v="0"/>
    <n v="0"/>
    <n v="0"/>
    <n v="0"/>
    <m/>
    <m/>
    <n v="0"/>
    <n v="0"/>
  </r>
  <r>
    <x v="14"/>
    <s v="Virginia Western Community College "/>
    <n v="233949"/>
    <x v="7"/>
    <s v="sem"/>
    <s v="sem"/>
    <m/>
    <m/>
    <n v="55152"/>
    <n v="31729"/>
    <n v="14940"/>
    <n v="10104"/>
    <n v="62028"/>
    <n v="34989"/>
    <n v="132120"/>
    <n v="4404"/>
    <n v="76822"/>
    <n v="2560.7333333333331"/>
    <n v="18001"/>
    <n v="12933"/>
    <n v="132120"/>
    <n v="76822"/>
    <m/>
    <m/>
    <m/>
    <m/>
    <m/>
    <m/>
    <m/>
    <m/>
    <n v="0"/>
    <n v="0"/>
    <n v="0"/>
    <n v="0"/>
    <m/>
    <m/>
    <n v="0"/>
    <n v="0"/>
  </r>
  <r>
    <x v="14"/>
    <s v="D.S. Lancaster Community College "/>
    <n v="231873"/>
    <x v="8"/>
    <s v="sem"/>
    <s v="sem"/>
    <m/>
    <m/>
    <n v="9627"/>
    <n v="62011"/>
    <n v="2559"/>
    <n v="16071"/>
    <n v="11023"/>
    <n v="67092"/>
    <n v="23209"/>
    <n v="773.63333333333333"/>
    <n v="145174"/>
    <n v="4839.1333333333332"/>
    <n v="3823"/>
    <n v="27620"/>
    <n v="23209"/>
    <n v="145174"/>
    <m/>
    <m/>
    <m/>
    <m/>
    <m/>
    <m/>
    <m/>
    <m/>
    <n v="0"/>
    <n v="0"/>
    <n v="0"/>
    <n v="0"/>
    <m/>
    <m/>
    <n v="0"/>
    <n v="0"/>
  </r>
  <r>
    <x v="14"/>
    <s v="Eastern Shore Community College  "/>
    <n v="232052"/>
    <x v="8"/>
    <s v="sem"/>
    <s v="sem"/>
    <m/>
    <m/>
    <n v="7274"/>
    <n v="11017"/>
    <n v="1211"/>
    <n v="2432"/>
    <n v="7814"/>
    <n v="12651"/>
    <n v="16299"/>
    <n v="543.29999999999995"/>
    <n v="26100"/>
    <n v="870"/>
    <n v="2805"/>
    <n v="6600"/>
    <n v="16299"/>
    <n v="26100"/>
    <m/>
    <m/>
    <m/>
    <m/>
    <m/>
    <m/>
    <m/>
    <m/>
    <n v="0"/>
    <n v="0"/>
    <n v="0"/>
    <n v="0"/>
    <m/>
    <m/>
    <n v="0"/>
    <n v="0"/>
  </r>
  <r>
    <x v="14"/>
    <s v="Mountain Empire Community College  "/>
    <n v="232788"/>
    <x v="8"/>
    <s v="sem"/>
    <s v="sem"/>
    <m/>
    <m/>
    <n v="23143"/>
    <n v="7814"/>
    <n v="7842"/>
    <n v="1376"/>
    <n v="26837"/>
    <n v="8774"/>
    <n v="57822"/>
    <n v="1927.4"/>
    <n v="17964"/>
    <n v="598.79999999999995"/>
    <n v="8822"/>
    <n v="3874"/>
    <n v="57822"/>
    <n v="17964"/>
    <m/>
    <m/>
    <m/>
    <m/>
    <m/>
    <m/>
    <m/>
    <m/>
    <n v="0"/>
    <n v="0"/>
    <n v="0"/>
    <n v="0"/>
    <m/>
    <m/>
    <n v="0"/>
    <n v="0"/>
  </r>
  <r>
    <x v="14"/>
    <s v="Patrick Henry Community College "/>
    <n v="233019"/>
    <x v="8"/>
    <s v="sem"/>
    <s v="sem"/>
    <m/>
    <m/>
    <n v="24133"/>
    <n v="26837"/>
    <n v="6242"/>
    <n v="7959"/>
    <n v="28933"/>
    <n v="30418"/>
    <n v="59308"/>
    <n v="1976.9333333333334"/>
    <n v="65214"/>
    <n v="2173.8000000000002"/>
    <n v="11337"/>
    <n v="14509"/>
    <n v="59308"/>
    <n v="65214"/>
    <m/>
    <m/>
    <m/>
    <m/>
    <m/>
    <m/>
    <m/>
    <m/>
    <n v="0"/>
    <n v="0"/>
    <n v="0"/>
    <n v="0"/>
    <m/>
    <m/>
    <n v="0"/>
    <n v="0"/>
  </r>
  <r>
    <x v="14"/>
    <s v="Paul D. Camp Community College  "/>
    <n v="233037"/>
    <x v="8"/>
    <s v="sem"/>
    <s v="sem"/>
    <m/>
    <m/>
    <n v="11134"/>
    <n v="11795"/>
    <n v="3511"/>
    <n v="3890"/>
    <n v="11795"/>
    <n v="12357"/>
    <n v="26440"/>
    <n v="881.33333333333337"/>
    <n v="28042"/>
    <n v="934.73333333333335"/>
    <n v="4379"/>
    <n v="6321"/>
    <n v="26440"/>
    <n v="28042"/>
    <m/>
    <m/>
    <m/>
    <m/>
    <m/>
    <m/>
    <m/>
    <m/>
    <n v="0"/>
    <n v="0"/>
    <n v="0"/>
    <n v="0"/>
    <m/>
    <m/>
    <n v="0"/>
    <n v="0"/>
  </r>
  <r>
    <x v="14"/>
    <s v="Rappahannock Community College  "/>
    <n v="233310"/>
    <x v="8"/>
    <s v="sem"/>
    <s v="sem"/>
    <m/>
    <m/>
    <n v="21383"/>
    <n v="23896"/>
    <n v="4107"/>
    <n v="4837"/>
    <n v="23920"/>
    <n v="26102"/>
    <n v="49410"/>
    <n v="1647"/>
    <n v="54835"/>
    <n v="1827.8333333333333"/>
    <n v="16894"/>
    <n v="25077"/>
    <n v="49410"/>
    <n v="54835"/>
    <m/>
    <m/>
    <m/>
    <m/>
    <m/>
    <m/>
    <m/>
    <m/>
    <n v="0"/>
    <n v="0"/>
    <n v="0"/>
    <n v="0"/>
    <m/>
    <m/>
    <n v="0"/>
    <n v="0"/>
  </r>
  <r>
    <x v="14"/>
    <s v="Richard Bland College "/>
    <n v="233338"/>
    <x v="8"/>
    <s v="sem"/>
    <s v="sem"/>
    <m/>
    <m/>
    <n v="11280"/>
    <n v="16791"/>
    <n v="2538"/>
    <n v="2553"/>
    <n v="16855"/>
    <n v="17627"/>
    <n v="30673"/>
    <n v="1022.4333333333333"/>
    <n v="36971"/>
    <n v="1232.3666666666666"/>
    <n v="2418"/>
    <n v="3957"/>
    <n v="30673"/>
    <n v="36971"/>
    <m/>
    <m/>
    <m/>
    <m/>
    <m/>
    <m/>
    <m/>
    <m/>
    <n v="0"/>
    <n v="0"/>
    <n v="0"/>
    <n v="0"/>
    <m/>
    <m/>
    <n v="0"/>
    <n v="0"/>
  </r>
  <r>
    <x v="14"/>
    <s v="Virginia Highlands Community College "/>
    <n v="233903"/>
    <x v="8"/>
    <s v="sem"/>
    <s v="sem"/>
    <m/>
    <m/>
    <n v="18786"/>
    <n v="22702"/>
    <n v="5831"/>
    <n v="5263"/>
    <n v="22702"/>
    <n v="26202"/>
    <n v="47319"/>
    <n v="1577.3"/>
    <n v="54167"/>
    <n v="1805.5666666666666"/>
    <n v="6237"/>
    <n v="9895"/>
    <n v="47319"/>
    <n v="54167"/>
    <m/>
    <m/>
    <m/>
    <m/>
    <m/>
    <m/>
    <m/>
    <m/>
    <n v="0"/>
    <n v="0"/>
    <n v="0"/>
    <n v="0"/>
    <m/>
    <m/>
    <n v="0"/>
    <n v="0"/>
  </r>
  <r>
    <x v="14"/>
    <s v="Wytheville Community College "/>
    <n v="234377"/>
    <x v="8"/>
    <s v="sem"/>
    <s v="sem"/>
    <m/>
    <m/>
    <n v="23199"/>
    <n v="27401"/>
    <n v="6948"/>
    <n v="7025"/>
    <n v="27404"/>
    <n v="32478"/>
    <n v="57551"/>
    <n v="1918.3666666666666"/>
    <n v="66904"/>
    <n v="2230.1333333333332"/>
    <n v="11250"/>
    <n v="17790"/>
    <n v="57551"/>
    <n v="66904"/>
    <m/>
    <m/>
    <m/>
    <m/>
    <m/>
    <m/>
    <m/>
    <m/>
    <n v="0"/>
    <n v="0"/>
    <n v="0"/>
    <n v="0"/>
    <m/>
    <m/>
    <n v="0"/>
    <n v="0"/>
  </r>
  <r>
    <x v="15"/>
    <m/>
    <m/>
    <x v="18"/>
    <m/>
    <m/>
    <m/>
    <m/>
    <m/>
    <n v="3579093.5"/>
    <m/>
    <n v="712869.5"/>
    <m/>
    <n v="3809788"/>
    <m/>
    <m/>
    <m/>
    <m/>
    <m/>
    <m/>
    <m/>
    <m/>
    <m/>
    <m/>
    <m/>
    <m/>
    <m/>
    <m/>
    <m/>
    <m/>
    <m/>
    <m/>
    <m/>
    <m/>
    <m/>
    <m/>
    <m/>
    <m/>
  </r>
  <r>
    <x v="14"/>
    <s v="Richard Bland College B"/>
    <n v="233338"/>
    <x v="16"/>
    <s v="sem"/>
    <s v="sem"/>
    <n v="0"/>
    <n v="0"/>
    <n v="11280"/>
    <n v="0"/>
    <n v="2538"/>
    <n v="0"/>
    <n v="16855"/>
    <n v="0"/>
    <n v="30673"/>
    <n v="1022.4333333333333"/>
    <n v="0"/>
    <n v="0"/>
    <n v="2418"/>
    <n v="0"/>
    <n v="30673"/>
    <n v="0"/>
    <m/>
    <m/>
    <m/>
    <m/>
    <m/>
    <m/>
    <m/>
    <m/>
    <n v="0"/>
    <n v="0"/>
    <n v="0"/>
    <n v="0"/>
    <m/>
    <m/>
    <n v="0"/>
    <n v="0"/>
  </r>
  <r>
    <x v="14"/>
    <s v="All Community Colleges except R. Bland"/>
    <m/>
    <x v="17"/>
    <s v="sem"/>
    <s v="sem"/>
    <n v="0"/>
    <n v="0"/>
    <n v="1192175"/>
    <n v="0"/>
    <n v="383948"/>
    <n v="0"/>
    <n v="1340448"/>
    <n v="0"/>
    <n v="2916571"/>
    <n v="97219.03333333334"/>
    <n v="0"/>
    <n v="0"/>
    <n v="253475"/>
    <n v="0"/>
    <n v="2916571"/>
    <n v="0"/>
    <m/>
    <m/>
    <m/>
    <m/>
    <m/>
    <m/>
    <m/>
    <m/>
    <n v="0"/>
    <n v="0"/>
    <n v="0"/>
    <n v="0"/>
    <m/>
    <m/>
    <n v="0"/>
    <n v="0"/>
  </r>
  <r>
    <x v="16"/>
    <s v="West Virginia University"/>
    <n v="238032"/>
    <x v="0"/>
    <s v="sem"/>
    <s v="sem"/>
    <m/>
    <m/>
    <n v="278416"/>
    <n v="288220"/>
    <n v="37075"/>
    <n v="37502"/>
    <n v="313368"/>
    <n v="310511"/>
    <n v="628859"/>
    <n v="20961.966666666667"/>
    <n v="636233"/>
    <n v="21207.766666666666"/>
    <n v="2593"/>
    <n v="2634"/>
    <n v="628859"/>
    <n v="636233"/>
    <m/>
    <m/>
    <m/>
    <m/>
    <m/>
    <m/>
    <m/>
    <m/>
    <n v="0"/>
    <n v="0"/>
    <n v="0"/>
    <n v="0"/>
    <m/>
    <m/>
    <n v="0"/>
    <n v="0"/>
  </r>
  <r>
    <x v="16"/>
    <s v="Marshall University "/>
    <n v="237525"/>
    <x v="2"/>
    <s v="sem"/>
    <s v="sem"/>
    <m/>
    <m/>
    <n v="111321"/>
    <n v="109531"/>
    <n v="17215"/>
    <n v="17228"/>
    <n v="119271"/>
    <n v="124052"/>
    <n v="247807"/>
    <n v="8260.2333333333336"/>
    <n v="250811"/>
    <n v="8360.3666666666668"/>
    <n v="3836"/>
    <n v="3664"/>
    <n v="247807"/>
    <n v="250811"/>
    <m/>
    <m/>
    <m/>
    <m/>
    <m/>
    <m/>
    <m/>
    <m/>
    <n v="0"/>
    <n v="0"/>
    <n v="0"/>
    <n v="0"/>
    <m/>
    <m/>
    <n v="0"/>
    <n v="0"/>
  </r>
  <r>
    <x v="16"/>
    <s v="Fairmont State University"/>
    <n v="237367"/>
    <x v="4"/>
    <s v="sem"/>
    <s v="sem"/>
    <m/>
    <m/>
    <n v="51333"/>
    <n v="52239"/>
    <n v="5816"/>
    <n v="5356"/>
    <n v="56121"/>
    <n v="57683"/>
    <n v="113270"/>
    <n v="3775.6666666666665"/>
    <n v="115278"/>
    <n v="3842.6"/>
    <n v="0"/>
    <n v="0"/>
    <n v="113270"/>
    <n v="115278"/>
    <m/>
    <m/>
    <m/>
    <m/>
    <m/>
    <m/>
    <m/>
    <m/>
    <n v="0"/>
    <n v="0"/>
    <n v="0"/>
    <n v="0"/>
    <m/>
    <m/>
    <n v="0"/>
    <n v="0"/>
  </r>
  <r>
    <x v="16"/>
    <s v="Bluefield State College "/>
    <n v="237215"/>
    <x v="5"/>
    <s v="sem"/>
    <s v="sem"/>
    <m/>
    <m/>
    <n v="22844"/>
    <n v="24466"/>
    <n v="2987"/>
    <n v="3560"/>
    <n v="24932"/>
    <n v="26258"/>
    <n v="50763"/>
    <n v="1692.1"/>
    <n v="54284"/>
    <n v="1809.4666666666667"/>
    <n v="464"/>
    <n v="317"/>
    <n v="50763"/>
    <n v="54284"/>
    <m/>
    <m/>
    <m/>
    <m/>
    <m/>
    <m/>
    <m/>
    <m/>
    <n v="0"/>
    <n v="0"/>
    <n v="0"/>
    <n v="0"/>
    <m/>
    <m/>
    <n v="0"/>
    <n v="0"/>
  </r>
  <r>
    <x v="16"/>
    <s v="Concord University "/>
    <n v="237330"/>
    <x v="5"/>
    <s v="sem"/>
    <s v="sem"/>
    <m/>
    <m/>
    <n v="35189"/>
    <n v="36554"/>
    <n v="3493"/>
    <n v="3450"/>
    <n v="40012"/>
    <n v="39969"/>
    <n v="78694"/>
    <n v="2623.1333333333332"/>
    <n v="79973"/>
    <n v="2665.7666666666669"/>
    <n v="1246"/>
    <n v="991"/>
    <n v="78694"/>
    <n v="79973"/>
    <m/>
    <m/>
    <m/>
    <m/>
    <m/>
    <m/>
    <m/>
    <m/>
    <n v="0"/>
    <n v="0"/>
    <n v="0"/>
    <n v="0"/>
    <m/>
    <m/>
    <n v="0"/>
    <n v="0"/>
  </r>
  <r>
    <x v="16"/>
    <s v="Glenville State College "/>
    <n v="237385"/>
    <x v="5"/>
    <s v="sem"/>
    <s v="sem"/>
    <m/>
    <m/>
    <n v="16592"/>
    <n v="17537"/>
    <n v="1763"/>
    <n v="2173"/>
    <n v="18979.099999999999"/>
    <n v="20401"/>
    <n v="37334.1"/>
    <n v="1244.47"/>
    <n v="40111"/>
    <n v="1337.0333333333333"/>
    <n v="900"/>
    <n v="1342"/>
    <n v="37334.1"/>
    <n v="40111"/>
    <m/>
    <m/>
    <m/>
    <m/>
    <m/>
    <m/>
    <m/>
    <m/>
    <n v="0"/>
    <n v="0"/>
    <n v="0"/>
    <n v="0"/>
    <m/>
    <m/>
    <n v="0"/>
    <n v="0"/>
  </r>
  <r>
    <x v="16"/>
    <s v="Shepherd University "/>
    <n v="237792"/>
    <x v="5"/>
    <s v="sem"/>
    <s v="sem"/>
    <m/>
    <m/>
    <n v="47511.5"/>
    <n v="49161"/>
    <n v="4534"/>
    <n v="4752"/>
    <n v="52917.5"/>
    <n v="55175.5"/>
    <n v="104963"/>
    <n v="3498.7666666666669"/>
    <n v="109088.5"/>
    <n v="3636.2833333333333"/>
    <n v="98"/>
    <n v="104"/>
    <n v="104963"/>
    <n v="109088.5"/>
    <m/>
    <m/>
    <m/>
    <m/>
    <m/>
    <m/>
    <m/>
    <m/>
    <n v="0"/>
    <n v="0"/>
    <n v="0"/>
    <n v="0"/>
    <m/>
    <m/>
    <n v="0"/>
    <n v="0"/>
  </r>
  <r>
    <x v="16"/>
    <s v="West Liberty University"/>
    <n v="237932"/>
    <x v="5"/>
    <s v="sem"/>
    <s v="sem"/>
    <m/>
    <m/>
    <n v="30946"/>
    <n v="32861"/>
    <n v="1511"/>
    <n v="1432"/>
    <n v="36122"/>
    <n v="37927"/>
    <n v="68579"/>
    <n v="2285.9666666666667"/>
    <n v="72220"/>
    <n v="2407.3333333333335"/>
    <n v="1213"/>
    <n v="1105"/>
    <n v="68579"/>
    <n v="72220"/>
    <m/>
    <m/>
    <m/>
    <m/>
    <m/>
    <m/>
    <m/>
    <m/>
    <n v="0"/>
    <n v="0"/>
    <n v="0"/>
    <n v="0"/>
    <m/>
    <m/>
    <n v="0"/>
    <n v="0"/>
  </r>
  <r>
    <x v="16"/>
    <s v="West Virginia State University "/>
    <n v="237899"/>
    <x v="5"/>
    <s v="sem"/>
    <s v="sem"/>
    <m/>
    <m/>
    <n v="34776"/>
    <n v="32902"/>
    <n v="2617"/>
    <n v="2950"/>
    <n v="35261"/>
    <n v="40030"/>
    <n v="72654"/>
    <n v="2421.8000000000002"/>
    <n v="75882"/>
    <n v="2529.4"/>
    <n v="3358"/>
    <n v="3080"/>
    <n v="72654"/>
    <n v="75882"/>
    <m/>
    <m/>
    <m/>
    <m/>
    <m/>
    <m/>
    <m/>
    <m/>
    <n v="0"/>
    <n v="0"/>
    <n v="0"/>
    <n v="0"/>
    <m/>
    <m/>
    <n v="0"/>
    <n v="0"/>
  </r>
  <r>
    <x v="16"/>
    <s v="West Virginia University Institute of Technology"/>
    <n v="237950"/>
    <x v="5"/>
    <s v="sem"/>
    <s v="sem"/>
    <m/>
    <m/>
    <n v="16454"/>
    <n v="13954"/>
    <n v="990"/>
    <n v="857"/>
    <n v="15655"/>
    <n v="16805"/>
    <n v="33099"/>
    <n v="1103.3"/>
    <n v="31616"/>
    <n v="1053.8666666666666"/>
    <n v="773"/>
    <n v="537"/>
    <n v="33099"/>
    <n v="31616"/>
    <m/>
    <m/>
    <m/>
    <m/>
    <m/>
    <m/>
    <m/>
    <m/>
    <n v="0"/>
    <n v="0"/>
    <n v="0"/>
    <n v="0"/>
    <m/>
    <m/>
    <n v="0"/>
    <n v="0"/>
  </r>
  <r>
    <x v="16"/>
    <s v="Potomac State College of West Virginia University"/>
    <n v="237701"/>
    <x v="11"/>
    <s v="sem"/>
    <s v="sem"/>
    <m/>
    <m/>
    <n v="16557"/>
    <n v="17062"/>
    <n v="988"/>
    <n v="1367"/>
    <n v="18725"/>
    <n v="22116"/>
    <n v="36270"/>
    <n v="1209"/>
    <n v="40545"/>
    <n v="1351.5"/>
    <n v="2852"/>
    <n v="2887"/>
    <n v="36270"/>
    <n v="40545"/>
    <m/>
    <m/>
    <m/>
    <m/>
    <m/>
    <m/>
    <m/>
    <m/>
    <n v="0"/>
    <n v="0"/>
    <n v="0"/>
    <n v="0"/>
    <m/>
    <m/>
    <n v="0"/>
    <n v="0"/>
  </r>
  <r>
    <x v="16"/>
    <s v="West Virginia University at Parkersburg"/>
    <n v="237686"/>
    <x v="11"/>
    <s v="sem"/>
    <s v="sem"/>
    <m/>
    <m/>
    <n v="38158"/>
    <n v="38542"/>
    <n v="6926"/>
    <n v="8826"/>
    <n v="39085"/>
    <n v="46182"/>
    <n v="84169"/>
    <n v="2805.6333333333332"/>
    <n v="93550"/>
    <n v="3118.3333333333335"/>
    <n v="3453"/>
    <n v="3716"/>
    <n v="84169"/>
    <n v="93550"/>
    <m/>
    <m/>
    <m/>
    <m/>
    <m/>
    <m/>
    <m/>
    <m/>
    <n v="0"/>
    <n v="0"/>
    <n v="0"/>
    <n v="0"/>
    <m/>
    <m/>
    <n v="0"/>
    <n v="0"/>
  </r>
  <r>
    <x v="16"/>
    <s v="Blue Ridge Community &amp; Technical College"/>
    <n v="446774"/>
    <x v="8"/>
    <s v="sem"/>
    <s v="sem"/>
    <m/>
    <m/>
    <n v="14473.5"/>
    <n v="16461.5"/>
    <n v="1831"/>
    <n v="2480"/>
    <n v="16962.5"/>
    <n v="21473.5"/>
    <n v="33267"/>
    <n v="1108.9000000000001"/>
    <n v="40415"/>
    <n v="1347.1666666666667"/>
    <n v="1076"/>
    <n v="909.6"/>
    <n v="33267"/>
    <n v="40415"/>
    <m/>
    <m/>
    <m/>
    <m/>
    <m/>
    <m/>
    <m/>
    <m/>
    <n v="0"/>
    <n v="0"/>
    <n v="0"/>
    <n v="0"/>
    <m/>
    <m/>
    <n v="0"/>
    <n v="0"/>
  </r>
  <r>
    <x v="16"/>
    <s v="Bridgemont Community &amp; Technical College"/>
    <n v="445674"/>
    <x v="8"/>
    <s v="sem"/>
    <s v="sem"/>
    <m/>
    <m/>
    <n v="8305"/>
    <n v="7862"/>
    <n v="487"/>
    <n v="135"/>
    <n v="8584"/>
    <n v="8669"/>
    <n v="17376"/>
    <n v="579.20000000000005"/>
    <n v="16666"/>
    <n v="555.5333333333333"/>
    <n v="307"/>
    <n v="502"/>
    <n v="17376"/>
    <n v="16666"/>
    <m/>
    <m/>
    <m/>
    <m/>
    <m/>
    <m/>
    <m/>
    <m/>
    <n v="0"/>
    <n v="0"/>
    <n v="0"/>
    <n v="0"/>
    <m/>
    <m/>
    <n v="0"/>
    <n v="0"/>
  </r>
  <r>
    <x v="16"/>
    <s v="Eastern West Virginia Community &amp; Technical College"/>
    <n v="438708"/>
    <x v="8"/>
    <s v="sem"/>
    <s v="sem"/>
    <m/>
    <m/>
    <n v="2507"/>
    <n v="3794"/>
    <n v="379"/>
    <n v="426"/>
    <n v="3618"/>
    <n v="4681"/>
    <n v="6504"/>
    <n v="216.8"/>
    <n v="8901"/>
    <n v="296.7"/>
    <n v="1671"/>
    <n v="1657"/>
    <n v="6504"/>
    <n v="8901"/>
    <m/>
    <m/>
    <m/>
    <m/>
    <m/>
    <m/>
    <m/>
    <m/>
    <n v="0"/>
    <n v="0"/>
    <n v="0"/>
    <n v="0"/>
    <m/>
    <m/>
    <n v="0"/>
    <n v="0"/>
  </r>
  <r>
    <x v="16"/>
    <s v="Kanawha Valley Community &amp; Technical College"/>
    <n v="445018"/>
    <x v="8"/>
    <s v="sem"/>
    <s v="sem"/>
    <m/>
    <m/>
    <n v="16869"/>
    <n v="18540"/>
    <n v="1990"/>
    <n v="2028"/>
    <n v="19293"/>
    <n v="16906"/>
    <n v="38152"/>
    <n v="1271.7333333333333"/>
    <n v="37474"/>
    <n v="1249.1333333333334"/>
    <n v="262"/>
    <n v="307"/>
    <n v="38152"/>
    <n v="37474"/>
    <m/>
    <m/>
    <m/>
    <m/>
    <m/>
    <m/>
    <m/>
    <m/>
    <n v="0"/>
    <n v="0"/>
    <n v="0"/>
    <n v="0"/>
    <m/>
    <m/>
    <n v="0"/>
    <n v="0"/>
  </r>
  <r>
    <x v="16"/>
    <s v="Marshall Community &amp; Technical College"/>
    <n v="444954"/>
    <x v="8"/>
    <s v="sem"/>
    <s v="sem"/>
    <m/>
    <m/>
    <n v="20350"/>
    <n v="22317"/>
    <n v="3305"/>
    <n v="4622"/>
    <n v="24471"/>
    <n v="29081"/>
    <n v="48126"/>
    <n v="1604.2"/>
    <n v="56020"/>
    <n v="1867.3333333333333"/>
    <n v="1275"/>
    <n v="1111"/>
    <n v="48126"/>
    <n v="56020"/>
    <m/>
    <m/>
    <m/>
    <m/>
    <m/>
    <m/>
    <m/>
    <m/>
    <n v="0"/>
    <n v="0"/>
    <n v="0"/>
    <n v="0"/>
    <m/>
    <m/>
    <n v="0"/>
    <n v="0"/>
  </r>
  <r>
    <x v="16"/>
    <s v="New River Community &amp; Technical College"/>
    <n v="447582"/>
    <x v="8"/>
    <s v="sem"/>
    <s v="sem"/>
    <m/>
    <m/>
    <n v="21361.3"/>
    <n v="24091"/>
    <n v="3134"/>
    <n v="3737"/>
    <n v="22832"/>
    <n v="28915"/>
    <n v="47327.3"/>
    <n v="1577.5766666666668"/>
    <n v="56743"/>
    <n v="1891.4333333333334"/>
    <n v="2765"/>
    <n v="2648"/>
    <n v="47327.3"/>
    <n v="56743"/>
    <m/>
    <m/>
    <m/>
    <m/>
    <m/>
    <m/>
    <m/>
    <m/>
    <n v="0"/>
    <n v="0"/>
    <n v="0"/>
    <n v="0"/>
    <m/>
    <m/>
    <n v="0"/>
    <n v="0"/>
  </r>
  <r>
    <x v="16"/>
    <s v="Pierpont Community &amp; Technical College"/>
    <n v="443492"/>
    <x v="8"/>
    <s v="sem"/>
    <s v="sem"/>
    <m/>
    <m/>
    <n v="26131"/>
    <n v="26804"/>
    <n v="2930"/>
    <n v="3058"/>
    <n v="27175"/>
    <n v="29564"/>
    <n v="56236"/>
    <n v="1874.5333333333333"/>
    <n v="59426"/>
    <n v="1980.8666666666666"/>
    <n v="4208"/>
    <n v="4127"/>
    <n v="56236"/>
    <n v="59426"/>
    <m/>
    <m/>
    <m/>
    <m/>
    <m/>
    <m/>
    <m/>
    <m/>
    <n v="0"/>
    <n v="0"/>
    <n v="0"/>
    <n v="0"/>
    <m/>
    <m/>
    <n v="0"/>
    <n v="0"/>
  </r>
  <r>
    <x v="16"/>
    <s v="Southern West Virginia Community &amp; Technical College "/>
    <n v="237817"/>
    <x v="8"/>
    <s v="sem"/>
    <s v="sem"/>
    <m/>
    <m/>
    <n v="22742"/>
    <n v="22301"/>
    <n v="1595"/>
    <n v="2112"/>
    <n v="25227"/>
    <n v="26378"/>
    <n v="49564"/>
    <n v="1652.1333333333334"/>
    <n v="50791"/>
    <n v="1693.0333333333333"/>
    <n v="3302"/>
    <n v="3621"/>
    <n v="49564"/>
    <n v="50791"/>
    <m/>
    <m/>
    <m/>
    <m/>
    <m/>
    <m/>
    <m/>
    <m/>
    <n v="0"/>
    <n v="0"/>
    <n v="0"/>
    <n v="0"/>
    <m/>
    <m/>
    <n v="0"/>
    <n v="0"/>
  </r>
  <r>
    <x v="16"/>
    <s v="West Virginia Northern Community College"/>
    <n v="238014"/>
    <x v="8"/>
    <s v="sem"/>
    <s v="sem"/>
    <m/>
    <m/>
    <n v="26169.3"/>
    <n v="26953.599999999999"/>
    <n v="5644"/>
    <n v="8053"/>
    <n v="27357.9"/>
    <n v="30947.5"/>
    <n v="59171.199999999997"/>
    <n v="1972.3733333333332"/>
    <n v="65954.100000000006"/>
    <n v="2198.4700000000003"/>
    <n v="4067.3"/>
    <n v="3359.5"/>
    <n v="59171.199999999997"/>
    <n v="65954.100000000006"/>
    <m/>
    <m/>
    <m/>
    <m/>
    <m/>
    <m/>
    <m/>
    <m/>
    <n v="0"/>
    <n v="0"/>
    <n v="0"/>
    <n v="0"/>
    <m/>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2" dataOnRows="1" applyNumberFormats="0" applyBorderFormats="0" applyFontFormats="0" applyPatternFormats="0" applyAlignmentFormats="0" applyWidthHeightFormats="1" dataCaption="Data" updatedVersion="3" minRefreshableVersion="3" asteriskTotals="1" showMultipleLabel="0" showMemberPropertyTips="0" useAutoFormatting="1" colGrandTotals="0" itemPrintTitles="1" createdVersion="3" indent="0" compact="0" compactData="0" gridDropZones="1">
  <location ref="A2:AB220" firstHeaderRow="1" firstDataRow="3" firstDataCol="2"/>
  <pivotFields count="63">
    <pivotField axis="axisRow" compact="0" outline="0" subtotalTop="0" showAll="0" includeNewItemsInFilter="1" sortType="ascending" rankBy="0">
      <items count="18">
        <item x="0"/>
        <item x="1"/>
        <item x="2"/>
        <item x="3"/>
        <item x="4"/>
        <item x="5"/>
        <item x="6"/>
        <item x="7"/>
        <item x="8"/>
        <item x="9"/>
        <item x="10"/>
        <item x="11"/>
        <item x="12"/>
        <item x="13"/>
        <item x="14"/>
        <item x="16"/>
        <item x="15"/>
        <item t="default"/>
      </items>
    </pivotField>
    <pivotField compact="0" outline="0" subtotalTop="0" showAll="0" includeNewItemsInFilter="1"/>
    <pivotField compact="0" outline="0" subtotalTop="0" showAll="0" includeNewItemsInFilter="1"/>
    <pivotField name="Category" axis="axisCol" compact="0" numFmtId="164" outline="0" subtotalTop="0" showAll="0" includeNewItemsInFilter="1">
      <items count="21">
        <item x="0"/>
        <item x="1"/>
        <item x="2"/>
        <item x="3"/>
        <item x="4"/>
        <item x="5"/>
        <item n="7" x="11"/>
        <item n="8" x="6"/>
        <item n="9" x="7"/>
        <item n="10" x="8"/>
        <item n="11" m="1" x="19"/>
        <item n="12" x="9"/>
        <item n="13" x="10"/>
        <item x="13"/>
        <item h="1" x="12"/>
        <item x="16"/>
        <item x="17"/>
        <item x="14"/>
        <item x="15"/>
        <item x="1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compact="0" outline="0" subtotalTop="0" showAll="0" includeNewItemsInFilter="1">
      <items count="11">
        <item n="Four-Year" x="4"/>
        <item n="Two-Year" x="5"/>
        <item n="11" x="3"/>
        <item n="Technical" x="6"/>
        <item h="1" x="0"/>
        <item x="1"/>
        <item x="2"/>
        <item x="7"/>
        <item x="8"/>
        <item x="9"/>
        <item t="default"/>
      </items>
    </pivotField>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216">
    <i>
      <x/>
      <x/>
    </i>
    <i r="1" i="1">
      <x v="1"/>
    </i>
    <i r="1" i="2">
      <x v="2"/>
    </i>
    <i r="1" i="3">
      <x v="3"/>
    </i>
    <i r="1" i="4">
      <x v="4"/>
    </i>
    <i r="1" i="5">
      <x v="5"/>
    </i>
    <i r="1" i="6">
      <x v="6"/>
    </i>
    <i r="1" i="7">
      <x v="7"/>
    </i>
    <i r="1" i="8">
      <x v="8"/>
    </i>
    <i r="1" i="9">
      <x v="9"/>
    </i>
    <i r="1" i="10">
      <x v="10"/>
    </i>
    <i r="1" i="11">
      <x v="11"/>
    </i>
    <i>
      <x v="1"/>
      <x/>
    </i>
    <i r="1" i="1">
      <x v="1"/>
    </i>
    <i r="1" i="2">
      <x v="2"/>
    </i>
    <i r="1" i="3">
      <x v="3"/>
    </i>
    <i r="1" i="4">
      <x v="4"/>
    </i>
    <i r="1" i="5">
      <x v="5"/>
    </i>
    <i r="1" i="6">
      <x v="6"/>
    </i>
    <i r="1" i="7">
      <x v="7"/>
    </i>
    <i r="1" i="8">
      <x v="8"/>
    </i>
    <i r="1" i="9">
      <x v="9"/>
    </i>
    <i r="1" i="10">
      <x v="10"/>
    </i>
    <i r="1" i="11">
      <x v="11"/>
    </i>
    <i>
      <x v="2"/>
      <x/>
    </i>
    <i r="1" i="1">
      <x v="1"/>
    </i>
    <i r="1" i="2">
      <x v="2"/>
    </i>
    <i r="1" i="3">
      <x v="3"/>
    </i>
    <i r="1" i="4">
      <x v="4"/>
    </i>
    <i r="1" i="5">
      <x v="5"/>
    </i>
    <i r="1" i="6">
      <x v="6"/>
    </i>
    <i r="1" i="7">
      <x v="7"/>
    </i>
    <i r="1" i="8">
      <x v="8"/>
    </i>
    <i r="1" i="9">
      <x v="9"/>
    </i>
    <i r="1" i="10">
      <x v="10"/>
    </i>
    <i r="1" i="11">
      <x v="11"/>
    </i>
    <i>
      <x v="3"/>
      <x/>
    </i>
    <i r="1" i="1">
      <x v="1"/>
    </i>
    <i r="1" i="2">
      <x v="2"/>
    </i>
    <i r="1" i="3">
      <x v="3"/>
    </i>
    <i r="1" i="4">
      <x v="4"/>
    </i>
    <i r="1" i="5">
      <x v="5"/>
    </i>
    <i r="1" i="6">
      <x v="6"/>
    </i>
    <i r="1" i="7">
      <x v="7"/>
    </i>
    <i r="1" i="8">
      <x v="8"/>
    </i>
    <i r="1" i="9">
      <x v="9"/>
    </i>
    <i r="1" i="10">
      <x v="10"/>
    </i>
    <i r="1" i="11">
      <x v="11"/>
    </i>
    <i>
      <x v="4"/>
      <x/>
    </i>
    <i r="1" i="1">
      <x v="1"/>
    </i>
    <i r="1" i="2">
      <x v="2"/>
    </i>
    <i r="1" i="3">
      <x v="3"/>
    </i>
    <i r="1" i="4">
      <x v="4"/>
    </i>
    <i r="1" i="5">
      <x v="5"/>
    </i>
    <i r="1" i="6">
      <x v="6"/>
    </i>
    <i r="1" i="7">
      <x v="7"/>
    </i>
    <i r="1" i="8">
      <x v="8"/>
    </i>
    <i r="1" i="9">
      <x v="9"/>
    </i>
    <i r="1" i="10">
      <x v="10"/>
    </i>
    <i r="1" i="11">
      <x v="11"/>
    </i>
    <i>
      <x v="5"/>
      <x/>
    </i>
    <i r="1" i="1">
      <x v="1"/>
    </i>
    <i r="1" i="2">
      <x v="2"/>
    </i>
    <i r="1" i="3">
      <x v="3"/>
    </i>
    <i r="1" i="4">
      <x v="4"/>
    </i>
    <i r="1" i="5">
      <x v="5"/>
    </i>
    <i r="1" i="6">
      <x v="6"/>
    </i>
    <i r="1" i="7">
      <x v="7"/>
    </i>
    <i r="1" i="8">
      <x v="8"/>
    </i>
    <i r="1" i="9">
      <x v="9"/>
    </i>
    <i r="1" i="10">
      <x v="10"/>
    </i>
    <i r="1" i="11">
      <x v="11"/>
    </i>
    <i>
      <x v="6"/>
      <x/>
    </i>
    <i r="1" i="1">
      <x v="1"/>
    </i>
    <i r="1" i="2">
      <x v="2"/>
    </i>
    <i r="1" i="3">
      <x v="3"/>
    </i>
    <i r="1" i="4">
      <x v="4"/>
    </i>
    <i r="1" i="5">
      <x v="5"/>
    </i>
    <i r="1" i="6">
      <x v="6"/>
    </i>
    <i r="1" i="7">
      <x v="7"/>
    </i>
    <i r="1" i="8">
      <x v="8"/>
    </i>
    <i r="1" i="9">
      <x v="9"/>
    </i>
    <i r="1" i="10">
      <x v="10"/>
    </i>
    <i r="1" i="11">
      <x v="11"/>
    </i>
    <i>
      <x v="7"/>
      <x/>
    </i>
    <i r="1" i="1">
      <x v="1"/>
    </i>
    <i r="1" i="2">
      <x v="2"/>
    </i>
    <i r="1" i="3">
      <x v="3"/>
    </i>
    <i r="1" i="4">
      <x v="4"/>
    </i>
    <i r="1" i="5">
      <x v="5"/>
    </i>
    <i r="1" i="6">
      <x v="6"/>
    </i>
    <i r="1" i="7">
      <x v="7"/>
    </i>
    <i r="1" i="8">
      <x v="8"/>
    </i>
    <i r="1" i="9">
      <x v="9"/>
    </i>
    <i r="1" i="10">
      <x v="10"/>
    </i>
    <i r="1" i="11">
      <x v="11"/>
    </i>
    <i>
      <x v="8"/>
      <x/>
    </i>
    <i r="1" i="1">
      <x v="1"/>
    </i>
    <i r="1" i="2">
      <x v="2"/>
    </i>
    <i r="1" i="3">
      <x v="3"/>
    </i>
    <i r="1" i="4">
      <x v="4"/>
    </i>
    <i r="1" i="5">
      <x v="5"/>
    </i>
    <i r="1" i="6">
      <x v="6"/>
    </i>
    <i r="1" i="7">
      <x v="7"/>
    </i>
    <i r="1" i="8">
      <x v="8"/>
    </i>
    <i r="1" i="9">
      <x v="9"/>
    </i>
    <i r="1" i="10">
      <x v="10"/>
    </i>
    <i r="1" i="11">
      <x v="11"/>
    </i>
    <i>
      <x v="9"/>
      <x/>
    </i>
    <i r="1" i="1">
      <x v="1"/>
    </i>
    <i r="1" i="2">
      <x v="2"/>
    </i>
    <i r="1" i="3">
      <x v="3"/>
    </i>
    <i r="1" i="4">
      <x v="4"/>
    </i>
    <i r="1" i="5">
      <x v="5"/>
    </i>
    <i r="1" i="6">
      <x v="6"/>
    </i>
    <i r="1" i="7">
      <x v="7"/>
    </i>
    <i r="1" i="8">
      <x v="8"/>
    </i>
    <i r="1" i="9">
      <x v="9"/>
    </i>
    <i r="1" i="10">
      <x v="10"/>
    </i>
    <i r="1" i="11">
      <x v="11"/>
    </i>
    <i>
      <x v="10"/>
      <x/>
    </i>
    <i r="1" i="1">
      <x v="1"/>
    </i>
    <i r="1" i="2">
      <x v="2"/>
    </i>
    <i r="1" i="3">
      <x v="3"/>
    </i>
    <i r="1" i="4">
      <x v="4"/>
    </i>
    <i r="1" i="5">
      <x v="5"/>
    </i>
    <i r="1" i="6">
      <x v="6"/>
    </i>
    <i r="1" i="7">
      <x v="7"/>
    </i>
    <i r="1" i="8">
      <x v="8"/>
    </i>
    <i r="1" i="9">
      <x v="9"/>
    </i>
    <i r="1" i="10">
      <x v="10"/>
    </i>
    <i r="1" i="11">
      <x v="11"/>
    </i>
    <i>
      <x v="11"/>
      <x/>
    </i>
    <i r="1" i="1">
      <x v="1"/>
    </i>
    <i r="1" i="2">
      <x v="2"/>
    </i>
    <i r="1" i="3">
      <x v="3"/>
    </i>
    <i r="1" i="4">
      <x v="4"/>
    </i>
    <i r="1" i="5">
      <x v="5"/>
    </i>
    <i r="1" i="6">
      <x v="6"/>
    </i>
    <i r="1" i="7">
      <x v="7"/>
    </i>
    <i r="1" i="8">
      <x v="8"/>
    </i>
    <i r="1" i="9">
      <x v="9"/>
    </i>
    <i r="1" i="10">
      <x v="10"/>
    </i>
    <i r="1" i="11">
      <x v="11"/>
    </i>
    <i>
      <x v="12"/>
      <x/>
    </i>
    <i r="1" i="1">
      <x v="1"/>
    </i>
    <i r="1" i="2">
      <x v="2"/>
    </i>
    <i r="1" i="3">
      <x v="3"/>
    </i>
    <i r="1" i="4">
      <x v="4"/>
    </i>
    <i r="1" i="5">
      <x v="5"/>
    </i>
    <i r="1" i="6">
      <x v="6"/>
    </i>
    <i r="1" i="7">
      <x v="7"/>
    </i>
    <i r="1" i="8">
      <x v="8"/>
    </i>
    <i r="1" i="9">
      <x v="9"/>
    </i>
    <i r="1" i="10">
      <x v="10"/>
    </i>
    <i r="1" i="11">
      <x v="11"/>
    </i>
    <i>
      <x v="13"/>
      <x/>
    </i>
    <i r="1" i="1">
      <x v="1"/>
    </i>
    <i r="1" i="2">
      <x v="2"/>
    </i>
    <i r="1" i="3">
      <x v="3"/>
    </i>
    <i r="1" i="4">
      <x v="4"/>
    </i>
    <i r="1" i="5">
      <x v="5"/>
    </i>
    <i r="1" i="6">
      <x v="6"/>
    </i>
    <i r="1" i="7">
      <x v="7"/>
    </i>
    <i r="1" i="8">
      <x v="8"/>
    </i>
    <i r="1" i="9">
      <x v="9"/>
    </i>
    <i r="1" i="10">
      <x v="10"/>
    </i>
    <i r="1" i="11">
      <x v="11"/>
    </i>
    <i>
      <x v="14"/>
      <x/>
    </i>
    <i r="1" i="1">
      <x v="1"/>
    </i>
    <i r="1" i="2">
      <x v="2"/>
    </i>
    <i r="1" i="3">
      <x v="3"/>
    </i>
    <i r="1" i="4">
      <x v="4"/>
    </i>
    <i r="1" i="5">
      <x v="5"/>
    </i>
    <i r="1" i="6">
      <x v="6"/>
    </i>
    <i r="1" i="7">
      <x v="7"/>
    </i>
    <i r="1" i="8">
      <x v="8"/>
    </i>
    <i r="1" i="9">
      <x v="9"/>
    </i>
    <i r="1" i="10">
      <x v="10"/>
    </i>
    <i r="1" i="11">
      <x v="11"/>
    </i>
    <i>
      <x v="15"/>
      <x/>
    </i>
    <i r="1" i="1">
      <x v="1"/>
    </i>
    <i r="1" i="2">
      <x v="2"/>
    </i>
    <i r="1" i="3">
      <x v="3"/>
    </i>
    <i r="1" i="4">
      <x v="4"/>
    </i>
    <i r="1" i="5">
      <x v="5"/>
    </i>
    <i r="1" i="6">
      <x v="6"/>
    </i>
    <i r="1" i="7">
      <x v="7"/>
    </i>
    <i r="1" i="8">
      <x v="8"/>
    </i>
    <i r="1" i="9">
      <x v="9"/>
    </i>
    <i r="1" i="10">
      <x v="10"/>
    </i>
    <i r="1" i="11">
      <x v="11"/>
    </i>
    <i>
      <x v="16"/>
      <x/>
    </i>
    <i r="1" i="1">
      <x v="1"/>
    </i>
    <i r="1" i="2">
      <x v="2"/>
    </i>
    <i r="1" i="3">
      <x v="3"/>
    </i>
    <i r="1" i="4">
      <x v="4"/>
    </i>
    <i r="1" i="5">
      <x v="5"/>
    </i>
    <i r="1" i="6">
      <x v="6"/>
    </i>
    <i r="1" i="7">
      <x v="7"/>
    </i>
    <i r="1" i="8">
      <x v="8"/>
    </i>
    <i r="1" i="9">
      <x v="9"/>
    </i>
    <i r="1" i="10">
      <x v="10"/>
    </i>
    <i r="1" i="11">
      <x v="11"/>
    </i>
    <i t="grand">
      <x/>
    </i>
    <i t="grand" i="1">
      <x/>
    </i>
    <i t="grand" i="2">
      <x/>
    </i>
    <i t="grand" i="3">
      <x/>
    </i>
    <i t="grand" i="4">
      <x/>
    </i>
    <i t="grand" i="5">
      <x/>
    </i>
    <i t="grand" i="6">
      <x/>
    </i>
    <i t="grand" i="7">
      <x/>
    </i>
    <i t="grand" i="8">
      <x/>
    </i>
    <i t="grand" i="9">
      <x/>
    </i>
    <i t="grand" i="10">
      <x/>
    </i>
    <i t="grand" i="11">
      <x/>
    </i>
  </rowItems>
  <colFields count="2">
    <field x="59"/>
    <field x="3"/>
  </colFields>
  <colItems count="26">
    <i>
      <x/>
      <x/>
    </i>
    <i r="1">
      <x v="1"/>
    </i>
    <i r="1">
      <x v="2"/>
    </i>
    <i r="1">
      <x v="3"/>
    </i>
    <i r="1">
      <x v="4"/>
    </i>
    <i r="1">
      <x v="5"/>
    </i>
    <i t="default">
      <x/>
    </i>
    <i>
      <x v="1"/>
      <x v="6"/>
    </i>
    <i r="1">
      <x v="7"/>
    </i>
    <i r="1">
      <x v="8"/>
    </i>
    <i r="1">
      <x v="9"/>
    </i>
    <i t="default">
      <x v="1"/>
    </i>
    <i>
      <x v="3"/>
      <x v="11"/>
    </i>
    <i r="1">
      <x v="12"/>
    </i>
    <i r="1">
      <x v="13"/>
    </i>
    <i t="default">
      <x v="3"/>
    </i>
    <i>
      <x v="5"/>
      <x v="15"/>
    </i>
    <i t="default">
      <x v="5"/>
    </i>
    <i>
      <x v="6"/>
      <x v="16"/>
    </i>
    <i t="default">
      <x v="6"/>
    </i>
    <i>
      <x v="7"/>
      <x v="17"/>
    </i>
    <i t="default">
      <x v="7"/>
    </i>
    <i>
      <x v="8"/>
      <x v="18"/>
    </i>
    <i t="default">
      <x v="8"/>
    </i>
    <i>
      <x v="9"/>
      <x v="19"/>
    </i>
    <i t="default">
      <x v="9"/>
    </i>
  </colItems>
  <dataFields count="12">
    <dataField name="Undergrad Student Credit Hour  FTE - Old" fld="15" baseField="0" baseItem="0" numFmtId="3"/>
    <dataField name="Undergrad Student Credit Hour FTE - New" fld="17" baseField="0" baseItem="0" numFmtId="3"/>
    <dataField name=" % Change Undergrad SCH FTE" fld="52" baseField="0" baseItem="0" numFmtId="166"/>
    <dataField name=" Undergrad Contact Hour FTE - Old" fld="31" baseField="0" baseItem="0" numFmtId="3"/>
    <dataField name=" Undergrad Contact Hour FTE - New" fld="33" baseField="0" baseItem="0" numFmtId="3"/>
    <dataField name=" % Change Undergrad CH FTE" fld="54" baseField="0" baseItem="0" numFmtId="166"/>
    <dataField name="Graduate FTE - Old" fld="47" baseField="0" baseItem="0" numFmtId="3"/>
    <dataField name="Graduate FTE - New" fld="49" baseField="0" baseItem="0" numFmtId="3"/>
    <dataField name=" % Change Graduate  FTE" fld="53" baseField="0" baseItem="0" numFmtId="166"/>
    <dataField name="Grand Total FTE - Old" fld="50" baseField="0" baseItem="0" numFmtId="3"/>
    <dataField name="Grand Total FTE - New" fld="51" baseField="0" baseItem="0" numFmtId="3"/>
    <dataField name=" % Change Grand Total FTE" fld="60" baseField="0" baseItem="0" numFmtId="166"/>
  </dataFields>
  <formats count="263">
    <format dxfId="582">
      <pivotArea type="all" dataOnly="0" outline="0" fieldPosition="0"/>
    </format>
    <format dxfId="581">
      <pivotArea type="all" dataOnly="0" outline="0" fieldPosition="0"/>
    </format>
    <format dxfId="580">
      <pivotArea type="all" dataOnly="0" outline="0" fieldPosition="0"/>
    </format>
    <format dxfId="579">
      <pivotArea type="all" dataOnly="0" outline="0" fieldPosition="0"/>
    </format>
    <format dxfId="578">
      <pivotArea dataOnly="0" outline="0" fieldPosition="0">
        <references count="1">
          <reference field="4294967294" count="1">
            <x v="2"/>
          </reference>
        </references>
      </pivotArea>
    </format>
    <format dxfId="577">
      <pivotArea outline="0" fieldPosition="0">
        <references count="3">
          <reference field="4294967294" count="1" selected="0">
            <x v="2"/>
          </reference>
          <reference field="0" count="1" selected="0">
            <x v="0"/>
          </reference>
          <reference field="3" count="1" selected="0">
            <x v="0"/>
          </reference>
        </references>
      </pivotArea>
    </format>
    <format dxfId="576">
      <pivotArea dataOnly="0" outline="0" fieldPosition="0">
        <references count="1">
          <reference field="4294967294" count="1">
            <x v="5"/>
          </reference>
        </references>
      </pivotArea>
    </format>
    <format dxfId="575">
      <pivotArea dataOnly="0" outline="0" fieldPosition="0">
        <references count="1">
          <reference field="4294967294" count="1">
            <x v="8"/>
          </reference>
        </references>
      </pivotArea>
    </format>
    <format dxfId="574">
      <pivotArea outline="0" fieldPosition="0">
        <references count="2">
          <reference field="0" count="1" selected="0">
            <x v="0"/>
          </reference>
          <reference field="3" count="1" selected="0">
            <x v="0"/>
          </reference>
        </references>
      </pivotArea>
    </format>
    <format dxfId="573">
      <pivotArea outline="0" fieldPosition="0">
        <references count="2">
          <reference field="0" count="1" selected="0">
            <x v="0"/>
          </reference>
          <reference field="3" count="1" selected="0">
            <x v="0"/>
          </reference>
        </references>
      </pivotArea>
    </format>
    <format dxfId="572">
      <pivotArea outline="0" fieldPosition="0">
        <references count="2">
          <reference field="0" count="1" selected="0">
            <x v="0"/>
          </reference>
          <reference field="3" count="1" selected="0">
            <x v="0"/>
          </reference>
        </references>
      </pivotArea>
    </format>
    <format dxfId="571">
      <pivotArea dataOnly="0" outline="0" fieldPosition="0">
        <references count="1">
          <reference field="4294967294" count="1">
            <x v="2"/>
          </reference>
        </references>
      </pivotArea>
    </format>
    <format dxfId="570">
      <pivotArea dataOnly="0" outline="0" fieldPosition="0">
        <references count="1">
          <reference field="4294967294" count="1">
            <x v="5"/>
          </reference>
        </references>
      </pivotArea>
    </format>
    <format dxfId="569">
      <pivotArea dataOnly="0" outline="0" fieldPosition="0">
        <references count="1">
          <reference field="4294967294" count="1">
            <x v="8"/>
          </reference>
        </references>
      </pivotArea>
    </format>
    <format dxfId="568">
      <pivotArea outline="0" fieldPosition="0">
        <references count="2">
          <reference field="0" count="1" selected="0">
            <x v="4"/>
          </reference>
          <reference field="3" count="4" selected="0">
            <x v="2"/>
            <x v="3"/>
            <x v="4"/>
            <x v="5"/>
          </reference>
        </references>
      </pivotArea>
    </format>
    <format dxfId="567">
      <pivotArea outline="0" fieldPosition="0">
        <references count="2">
          <reference field="0" count="1" selected="0">
            <x v="8"/>
          </reference>
          <reference field="3" count="2" selected="0">
            <x v="3"/>
            <x v="4"/>
          </reference>
        </references>
      </pivotArea>
    </format>
    <format dxfId="566">
      <pivotArea outline="0" fieldPosition="0">
        <references count="2">
          <reference field="0" count="1" selected="0">
            <x v="13"/>
          </reference>
          <reference field="3" count="2" selected="0">
            <x v="3"/>
            <x v="4"/>
          </reference>
        </references>
      </pivotArea>
    </format>
    <format dxfId="565">
      <pivotArea dataOnly="0" labelOnly="1" outline="0" fieldPosition="0">
        <references count="1">
          <reference field="0" count="1">
            <x v="0"/>
          </reference>
        </references>
      </pivotArea>
    </format>
    <format dxfId="564">
      <pivotArea dataOnly="0" labelOnly="1" outline="0" fieldPosition="0">
        <references count="1">
          <reference field="0" count="1">
            <x v="1"/>
          </reference>
        </references>
      </pivotArea>
    </format>
    <format dxfId="563">
      <pivotArea dataOnly="0" labelOnly="1" outline="0" fieldPosition="0">
        <references count="1">
          <reference field="0" count="14">
            <x v="2"/>
            <x v="3"/>
            <x v="4"/>
            <x v="5"/>
            <x v="6"/>
            <x v="7"/>
            <x v="8"/>
            <x v="9"/>
            <x v="10"/>
            <x v="11"/>
            <x v="12"/>
            <x v="13"/>
            <x v="14"/>
            <x v="15"/>
          </reference>
        </references>
      </pivotArea>
    </format>
    <format dxfId="562">
      <pivotArea dataOnly="0" outline="0" fieldPosition="0">
        <references count="1">
          <reference field="4294967294" count="3">
            <x v="2"/>
            <x v="5"/>
            <x v="8"/>
          </reference>
        </references>
      </pivotArea>
    </format>
    <format dxfId="561">
      <pivotArea field="0" dataOnly="0" grandRow="1" outline="0" axis="axisRow" fieldPosition="0">
        <references count="1">
          <reference field="4294967294" count="1" selected="0">
            <x v="2"/>
          </reference>
        </references>
      </pivotArea>
    </format>
    <format dxfId="560">
      <pivotArea field="0" dataOnly="0" grandRow="1" outline="0" axis="axisRow" fieldPosition="0">
        <references count="1">
          <reference field="4294967294" count="1" selected="0">
            <x v="2"/>
          </reference>
        </references>
      </pivotArea>
    </format>
    <format dxfId="559">
      <pivotArea field="0" dataOnly="0" grandRow="1" outline="0" axis="axisRow" fieldPosition="0">
        <references count="1">
          <reference field="4294967294" count="1" selected="0">
            <x v="2"/>
          </reference>
        </references>
      </pivotArea>
    </format>
    <format dxfId="558">
      <pivotArea field="0" dataOnly="0" grandRow="1" outline="0" axis="axisRow" fieldPosition="0">
        <references count="1">
          <reference field="4294967294" count="1" selected="0">
            <x v="5"/>
          </reference>
        </references>
      </pivotArea>
    </format>
    <format dxfId="557">
      <pivotArea field="0" dataOnly="0" grandRow="1" outline="0" axis="axisRow" fieldPosition="0">
        <references count="1">
          <reference field="4294967294" count="1" selected="0">
            <x v="8"/>
          </reference>
        </references>
      </pivotArea>
    </format>
    <format dxfId="556">
      <pivotArea field="0" dataOnly="0" grandRow="1" outline="0" axis="axisRow" fieldPosition="0">
        <references count="1">
          <reference field="4294967294" count="1" selected="0">
            <x v="2"/>
          </reference>
        </references>
      </pivotArea>
    </format>
    <format dxfId="555">
      <pivotArea field="0" dataOnly="0" grandRow="1" outline="0" axis="axisRow" fieldPosition="0">
        <references count="1">
          <reference field="4294967294" count="1" selected="0">
            <x v="2"/>
          </reference>
        </references>
      </pivotArea>
    </format>
    <format dxfId="554">
      <pivotArea field="0" dataOnly="0" grandRow="1" outline="0" axis="axisRow" fieldPosition="0">
        <references count="1">
          <reference field="4294967294" count="1" selected="0">
            <x v="2"/>
          </reference>
        </references>
      </pivotArea>
    </format>
    <format dxfId="553">
      <pivotArea field="0" dataOnly="0" grandRow="1" outline="0" axis="axisRow" fieldPosition="0">
        <references count="1">
          <reference field="4294967294" count="1" selected="0">
            <x v="2"/>
          </reference>
        </references>
      </pivotArea>
    </format>
    <format dxfId="552">
      <pivotArea field="0" dataOnly="0" labelOnly="1" grandRow="1" outline="0" axis="axisRow" fieldPosition="0">
        <references count="1">
          <reference field="4294967294" count="1" selected="0">
            <x v="2"/>
          </reference>
        </references>
      </pivotArea>
    </format>
    <format dxfId="551">
      <pivotArea field="0" dataOnly="0" labelOnly="1" grandRow="1" outline="0" axis="axisRow" fieldPosition="0">
        <references count="1">
          <reference field="4294967294" count="1" selected="0">
            <x v="2"/>
          </reference>
        </references>
      </pivotArea>
    </format>
    <format dxfId="550">
      <pivotArea field="0" dataOnly="0" labelOnly="1" grandRow="1" outline="0" axis="axisRow" fieldPosition="0">
        <references count="1">
          <reference field="4294967294" count="1" selected="0">
            <x v="2"/>
          </reference>
        </references>
      </pivotArea>
    </format>
    <format dxfId="549">
      <pivotArea field="0" dataOnly="0" labelOnly="1" grandRow="1" outline="0" axis="axisRow" fieldPosition="0">
        <references count="1">
          <reference field="4294967294" count="1" selected="0">
            <x v="2"/>
          </reference>
        </references>
      </pivotArea>
    </format>
    <format dxfId="548">
      <pivotArea field="0" dataOnly="0" labelOnly="1" grandRow="1" outline="0" axis="axisRow" fieldPosition="0">
        <references count="1">
          <reference field="4294967294" count="1" selected="0">
            <x v="2"/>
          </reference>
        </references>
      </pivotArea>
    </format>
    <format dxfId="547">
      <pivotArea field="0" dataOnly="0" labelOnly="1" grandRow="1" outline="0" axis="axisRow" fieldPosition="0">
        <references count="1">
          <reference field="4294967294" count="1" selected="0">
            <x v="2"/>
          </reference>
        </references>
      </pivotArea>
    </format>
    <format dxfId="546">
      <pivotArea outline="0" fieldPosition="0">
        <references count="2">
          <reference field="4294967294" count="2" selected="0">
            <x v="10"/>
            <x v="11"/>
          </reference>
          <reference field="0" count="1" selected="0">
            <x v="3"/>
          </reference>
        </references>
      </pivotArea>
    </format>
    <format dxfId="545">
      <pivotArea field="0" grandCol="1" outline="0" axis="axisRow" fieldPosition="0">
        <references count="2">
          <reference field="4294967294" count="2" selected="0">
            <x v="10"/>
            <x v="11"/>
          </reference>
          <reference field="0" count="1" selected="0">
            <x v="3"/>
          </reference>
        </references>
      </pivotArea>
    </format>
    <format dxfId="544">
      <pivotArea dataOnly="0" labelOnly="1" outline="0" fieldPosition="0">
        <references count="2">
          <reference field="4294967294" count="2">
            <x v="10"/>
            <x v="11"/>
          </reference>
          <reference field="0" count="1" selected="0">
            <x v="3"/>
          </reference>
        </references>
      </pivotArea>
    </format>
    <format dxfId="543">
      <pivotArea grandCol="1" outline="0" fieldPosition="0"/>
    </format>
    <format dxfId="542">
      <pivotArea type="topRight" dataOnly="0" labelOnly="1" outline="0" offset="I1" fieldPosition="0"/>
    </format>
    <format dxfId="541">
      <pivotArea dataOnly="0" labelOnly="1" grandCol="1" outline="0" fieldPosition="0"/>
    </format>
    <format dxfId="540">
      <pivotArea dataOnly="0" labelOnly="1" outline="0" fieldPosition="0">
        <references count="1">
          <reference field="0" count="1">
            <x v="3"/>
          </reference>
        </references>
      </pivotArea>
    </format>
    <format dxfId="539">
      <pivotArea outline="0" fieldPosition="0">
        <references count="2">
          <reference field="4294967294" count="1" selected="0">
            <x v="0"/>
          </reference>
          <reference field="0" count="1" selected="0">
            <x v="7"/>
          </reference>
        </references>
      </pivotArea>
    </format>
    <format dxfId="538">
      <pivotArea dataOnly="0" labelOnly="1" outline="0" fieldPosition="0">
        <references count="1">
          <reference field="3" count="1">
            <x v="6"/>
          </reference>
        </references>
      </pivotArea>
    </format>
    <format dxfId="537">
      <pivotArea dataOnly="0" labelOnly="1" outline="0" fieldPosition="0">
        <references count="1">
          <reference field="3" count="1">
            <x v="7"/>
          </reference>
        </references>
      </pivotArea>
    </format>
    <format dxfId="536">
      <pivotArea dataOnly="0" labelOnly="1" outline="0" fieldPosition="0">
        <references count="1">
          <reference field="3" count="1">
            <x v="8"/>
          </reference>
        </references>
      </pivotArea>
    </format>
    <format dxfId="535">
      <pivotArea dataOnly="0" labelOnly="1" outline="0" fieldPosition="0">
        <references count="1">
          <reference field="3" count="3">
            <x v="9"/>
            <x v="11"/>
            <x v="12"/>
          </reference>
        </references>
      </pivotArea>
    </format>
    <format dxfId="534">
      <pivotArea dataOnly="0" labelOnly="1" outline="0" fieldPosition="0">
        <references count="1">
          <reference field="3" count="1">
            <x v="10"/>
          </reference>
        </references>
      </pivotArea>
    </format>
    <format dxfId="533">
      <pivotArea type="all" dataOnly="0" outline="0" fieldPosition="0"/>
    </format>
    <format dxfId="532">
      <pivotArea field="0" grandCol="1" outline="0" axis="axisRow" fieldPosition="0">
        <references count="2">
          <reference field="4294967294" count="1" selected="0">
            <x v="10"/>
          </reference>
          <reference field="0" count="1" selected="0">
            <x v="14"/>
          </reference>
        </references>
      </pivotArea>
    </format>
    <format dxfId="531">
      <pivotArea field="0" grandCol="1" outline="0" axis="axisRow" fieldPosition="0">
        <references count="2">
          <reference field="4294967294" count="1" selected="0">
            <x v="0"/>
          </reference>
          <reference field="0" count="1" selected="0">
            <x v="14"/>
          </reference>
        </references>
      </pivotArea>
    </format>
    <format dxfId="530">
      <pivotArea field="0" grandCol="1" outline="0" axis="axisRow" fieldPosition="0">
        <references count="2">
          <reference field="4294967294" count="1" selected="0">
            <x v="3"/>
          </reference>
          <reference field="0" count="1" selected="0">
            <x v="6"/>
          </reference>
        </references>
      </pivotArea>
    </format>
    <format dxfId="529">
      <pivotArea dataOnly="0" labelOnly="1" grandCol="1" outline="0" offset="IV256" fieldPosition="0"/>
    </format>
    <format dxfId="528">
      <pivotArea dataOnly="0" labelOnly="1" grandCol="1" outline="0" offset="IV1" fieldPosition="0"/>
    </format>
    <format dxfId="527">
      <pivotArea type="origin" dataOnly="0" labelOnly="1" outline="0" fieldPosition="0"/>
    </format>
    <format dxfId="526">
      <pivotArea field="0" type="button" dataOnly="0" labelOnly="1" outline="0" axis="axisRow" fieldPosition="0"/>
    </format>
    <format dxfId="525">
      <pivotArea dataOnly="0" labelOnly="1" outline="0" fieldPosition="0">
        <references count="1">
          <reference field="0" count="0"/>
        </references>
      </pivotArea>
    </format>
    <format dxfId="524">
      <pivotArea field="-2" type="button" dataOnly="0" labelOnly="1" outline="0" axis="axisRow" fieldPosition="1"/>
    </format>
    <format dxfId="523">
      <pivotArea field="0" dataOnly="0" labelOnly="1" grandRow="1" outline="0" offset="IV256" axis="axisRow" fieldPosition="0">
        <references count="1">
          <reference field="4294967294" count="1" selected="0">
            <x v="0"/>
          </reference>
        </references>
      </pivotArea>
    </format>
    <format dxfId="522">
      <pivotArea field="0" dataOnly="0" labelOnly="1" grandRow="1" outline="0" offset="IV256" axis="axisRow" fieldPosition="0">
        <references count="1">
          <reference field="4294967294" count="1" selected="0">
            <x v="1"/>
          </reference>
        </references>
      </pivotArea>
    </format>
    <format dxfId="521">
      <pivotArea field="0" dataOnly="0" labelOnly="1" grandRow="1" outline="0" offset="IV256" axis="axisRow" fieldPosition="0">
        <references count="1">
          <reference field="4294967294" count="1" selected="0">
            <x v="2"/>
          </reference>
        </references>
      </pivotArea>
    </format>
    <format dxfId="520">
      <pivotArea field="0" dataOnly="0" labelOnly="1" grandRow="1" outline="0" offset="IV256" axis="axisRow" fieldPosition="0">
        <references count="1">
          <reference field="4294967294" count="1" selected="0">
            <x v="3"/>
          </reference>
        </references>
      </pivotArea>
    </format>
    <format dxfId="519">
      <pivotArea field="0" dataOnly="0" labelOnly="1" grandRow="1" outline="0" offset="IV256" axis="axisRow" fieldPosition="0">
        <references count="1">
          <reference field="4294967294" count="1" selected="0">
            <x v="4"/>
          </reference>
        </references>
      </pivotArea>
    </format>
    <format dxfId="518">
      <pivotArea field="0" dataOnly="0" labelOnly="1" grandRow="1" outline="0" offset="IV256" axis="axisRow" fieldPosition="0">
        <references count="1">
          <reference field="4294967294" count="1" selected="0">
            <x v="5"/>
          </reference>
        </references>
      </pivotArea>
    </format>
    <format dxfId="517">
      <pivotArea field="0" dataOnly="0" labelOnly="1" grandRow="1" outline="0" offset="IV256" axis="axisRow" fieldPosition="0">
        <references count="1">
          <reference field="4294967294" count="1" selected="0">
            <x v="6"/>
          </reference>
        </references>
      </pivotArea>
    </format>
    <format dxfId="516">
      <pivotArea field="0" dataOnly="0" labelOnly="1" grandRow="1" outline="0" offset="IV256" axis="axisRow" fieldPosition="0">
        <references count="1">
          <reference field="4294967294" count="1" selected="0">
            <x v="7"/>
          </reference>
        </references>
      </pivotArea>
    </format>
    <format dxfId="515">
      <pivotArea field="0" dataOnly="0" labelOnly="1" grandRow="1" outline="0" offset="IV256" axis="axisRow" fieldPosition="0">
        <references count="1">
          <reference field="4294967294" count="1" selected="0">
            <x v="8"/>
          </reference>
        </references>
      </pivotArea>
    </format>
    <format dxfId="514">
      <pivotArea field="0" dataOnly="0" labelOnly="1" grandRow="1" outline="0" offset="IV256" axis="axisRow" fieldPosition="0">
        <references count="1">
          <reference field="4294967294" count="1" selected="0">
            <x v="10"/>
          </reference>
        </references>
      </pivotArea>
    </format>
    <format dxfId="513">
      <pivotArea field="0" dataOnly="0" labelOnly="1" grandRow="1" outline="0" offset="IV256" axis="axisRow" fieldPosition="0">
        <references count="1">
          <reference field="4294967294" count="1" selected="0">
            <x v="11"/>
          </reference>
        </references>
      </pivotArea>
    </format>
    <format dxfId="512">
      <pivotArea dataOnly="0" labelOnly="1" outline="0" fieldPosition="0">
        <references count="2">
          <reference field="4294967294" count="0"/>
          <reference field="0" count="1" selected="0">
            <x v="0"/>
          </reference>
        </references>
      </pivotArea>
    </format>
    <format dxfId="511">
      <pivotArea dataOnly="0" labelOnly="1" outline="0" fieldPosition="0">
        <references count="2">
          <reference field="4294967294" count="0"/>
          <reference field="0" count="1" selected="0">
            <x v="1"/>
          </reference>
        </references>
      </pivotArea>
    </format>
    <format dxfId="510">
      <pivotArea dataOnly="0" labelOnly="1" outline="0" fieldPosition="0">
        <references count="2">
          <reference field="4294967294" count="0"/>
          <reference field="0" count="1" selected="0">
            <x v="2"/>
          </reference>
        </references>
      </pivotArea>
    </format>
    <format dxfId="509">
      <pivotArea dataOnly="0" labelOnly="1" outline="0" fieldPosition="0">
        <references count="2">
          <reference field="4294967294" count="0"/>
          <reference field="0" count="1" selected="0">
            <x v="3"/>
          </reference>
        </references>
      </pivotArea>
    </format>
    <format dxfId="508">
      <pivotArea dataOnly="0" labelOnly="1" outline="0" fieldPosition="0">
        <references count="2">
          <reference field="4294967294" count="0"/>
          <reference field="0" count="1" selected="0">
            <x v="4"/>
          </reference>
        </references>
      </pivotArea>
    </format>
    <format dxfId="507">
      <pivotArea dataOnly="0" labelOnly="1" outline="0" fieldPosition="0">
        <references count="2">
          <reference field="4294967294" count="0"/>
          <reference field="0" count="1" selected="0">
            <x v="5"/>
          </reference>
        </references>
      </pivotArea>
    </format>
    <format dxfId="506">
      <pivotArea dataOnly="0" labelOnly="1" outline="0" fieldPosition="0">
        <references count="2">
          <reference field="4294967294" count="0"/>
          <reference field="0" count="1" selected="0">
            <x v="6"/>
          </reference>
        </references>
      </pivotArea>
    </format>
    <format dxfId="505">
      <pivotArea dataOnly="0" labelOnly="1" outline="0" fieldPosition="0">
        <references count="2">
          <reference field="4294967294" count="0"/>
          <reference field="0" count="1" selected="0">
            <x v="7"/>
          </reference>
        </references>
      </pivotArea>
    </format>
    <format dxfId="504">
      <pivotArea dataOnly="0" labelOnly="1" outline="0" fieldPosition="0">
        <references count="2">
          <reference field="4294967294" count="0"/>
          <reference field="0" count="1" selected="0">
            <x v="8"/>
          </reference>
        </references>
      </pivotArea>
    </format>
    <format dxfId="503">
      <pivotArea dataOnly="0" labelOnly="1" outline="0" fieldPosition="0">
        <references count="2">
          <reference field="4294967294" count="0"/>
          <reference field="0" count="1" selected="0">
            <x v="9"/>
          </reference>
        </references>
      </pivotArea>
    </format>
    <format dxfId="502">
      <pivotArea dataOnly="0" labelOnly="1" outline="0" fieldPosition="0">
        <references count="2">
          <reference field="4294967294" count="0"/>
          <reference field="0" count="1" selected="0">
            <x v="10"/>
          </reference>
        </references>
      </pivotArea>
    </format>
    <format dxfId="501">
      <pivotArea dataOnly="0" labelOnly="1" outline="0" fieldPosition="0">
        <references count="2">
          <reference field="4294967294" count="0"/>
          <reference field="0" count="1" selected="0">
            <x v="11"/>
          </reference>
        </references>
      </pivotArea>
    </format>
    <format dxfId="500">
      <pivotArea dataOnly="0" labelOnly="1" outline="0" fieldPosition="0">
        <references count="2">
          <reference field="4294967294" count="0"/>
          <reference field="0" count="1" selected="0">
            <x v="12"/>
          </reference>
        </references>
      </pivotArea>
    </format>
    <format dxfId="499">
      <pivotArea dataOnly="0" labelOnly="1" outline="0" fieldPosition="0">
        <references count="2">
          <reference field="4294967294" count="0"/>
          <reference field="0" count="1" selected="0">
            <x v="13"/>
          </reference>
        </references>
      </pivotArea>
    </format>
    <format dxfId="498">
      <pivotArea dataOnly="0" labelOnly="1" outline="0" fieldPosition="0">
        <references count="2">
          <reference field="4294967294" count="0"/>
          <reference field="0" count="1" selected="0">
            <x v="14"/>
          </reference>
        </references>
      </pivotArea>
    </format>
    <format dxfId="497">
      <pivotArea dataOnly="0" labelOnly="1" outline="0" fieldPosition="0">
        <references count="2">
          <reference field="4294967294" count="0"/>
          <reference field="0" count="1" selected="0">
            <x v="15"/>
          </reference>
        </references>
      </pivotArea>
    </format>
    <format dxfId="496">
      <pivotArea outline="0" fieldPosition="0">
        <references count="2">
          <reference field="4294967294" count="1" selected="0">
            <x v="2"/>
          </reference>
          <reference field="0" count="1" selected="0">
            <x v="0"/>
          </reference>
        </references>
      </pivotArea>
    </format>
    <format dxfId="495">
      <pivotArea outline="0" fieldPosition="0">
        <references count="2">
          <reference field="4294967294" count="1" selected="0">
            <x v="0"/>
          </reference>
          <reference field="0" count="1" selected="0">
            <x v="13"/>
          </reference>
        </references>
      </pivotArea>
    </format>
    <format dxfId="494">
      <pivotArea outline="0" fieldPosition="0">
        <references count="2">
          <reference field="4294967294" count="1" selected="0">
            <x v="0"/>
          </reference>
          <reference field="0" count="1" selected="0">
            <x v="15"/>
          </reference>
        </references>
      </pivotArea>
    </format>
    <format dxfId="493">
      <pivotArea outline="0" fieldPosition="0">
        <references count="2">
          <reference field="4294967294" count="1" selected="0">
            <x v="0"/>
          </reference>
          <reference field="0" count="1" selected="0">
            <x v="13"/>
          </reference>
        </references>
      </pivotArea>
    </format>
    <format dxfId="492">
      <pivotArea outline="0" fieldPosition="0">
        <references count="2">
          <reference field="4294967294" count="1" selected="0">
            <x v="0"/>
          </reference>
          <reference field="0" count="1" selected="0">
            <x v="15"/>
          </reference>
        </references>
      </pivotArea>
    </format>
    <format dxfId="491">
      <pivotArea type="topRight" dataOnly="0" labelOnly="1" outline="0" offset="E1" fieldPosition="0"/>
    </format>
    <format dxfId="490">
      <pivotArea type="all" dataOnly="0" outline="0" fieldPosition="0"/>
    </format>
    <format dxfId="489">
      <pivotArea type="topRight" dataOnly="0" labelOnly="1" outline="0" offset="F1" fieldPosition="0"/>
    </format>
    <format dxfId="488">
      <pivotArea type="topRight" dataOnly="0" labelOnly="1" outline="0" offset="J1" fieldPosition="0"/>
    </format>
    <format dxfId="487">
      <pivotArea type="topRight" dataOnly="0" labelOnly="1" outline="0" offset="K1" fieldPosition="0"/>
    </format>
    <format dxfId="486">
      <pivotArea type="origin" dataOnly="0" labelOnly="1" outline="0" offset="A2:B2" fieldPosition="0"/>
    </format>
    <format dxfId="485">
      <pivotArea dataOnly="0" labelOnly="1" outline="0" offset="IV1" fieldPosition="0">
        <references count="1">
          <reference field="0" count="1">
            <x v="0"/>
          </reference>
        </references>
      </pivotArea>
    </format>
    <format dxfId="484">
      <pivotArea type="topRight" dataOnly="0" labelOnly="1" outline="0" offset="S1:Z1" fieldPosition="0"/>
    </format>
    <format dxfId="483">
      <pivotArea dataOnly="0" labelOnly="1" outline="0" offset="IV1" fieldPosition="0">
        <references count="1">
          <reference field="0" count="1">
            <x v="1"/>
          </reference>
        </references>
      </pivotArea>
    </format>
    <format dxfId="482">
      <pivotArea dataOnly="0" labelOnly="1" outline="0" offset="IV1" fieldPosition="0">
        <references count="1">
          <reference field="0" count="1">
            <x v="2"/>
          </reference>
        </references>
      </pivotArea>
    </format>
    <format dxfId="481">
      <pivotArea dataOnly="0" labelOnly="1" outline="0" offset="IV1" fieldPosition="0">
        <references count="1">
          <reference field="0" count="1">
            <x v="3"/>
          </reference>
        </references>
      </pivotArea>
    </format>
    <format dxfId="480">
      <pivotArea dataOnly="0" labelOnly="1" outline="0" offset="IV1" fieldPosition="0">
        <references count="1">
          <reference field="0" count="1">
            <x v="4"/>
          </reference>
        </references>
      </pivotArea>
    </format>
    <format dxfId="479">
      <pivotArea dataOnly="0" labelOnly="1" outline="0" offset="IV1" fieldPosition="0">
        <references count="1">
          <reference field="0" count="1">
            <x v="5"/>
          </reference>
        </references>
      </pivotArea>
    </format>
    <format dxfId="478">
      <pivotArea dataOnly="0" labelOnly="1" outline="0" offset="IV1" fieldPosition="0">
        <references count="1">
          <reference field="0" count="1">
            <x v="6"/>
          </reference>
        </references>
      </pivotArea>
    </format>
    <format dxfId="477">
      <pivotArea dataOnly="0" labelOnly="1" outline="0" offset="IV1" fieldPosition="0">
        <references count="1">
          <reference field="0" count="1">
            <x v="7"/>
          </reference>
        </references>
      </pivotArea>
    </format>
    <format dxfId="476">
      <pivotArea dataOnly="0" labelOnly="1" outline="0" offset="IV1" fieldPosition="0">
        <references count="1">
          <reference field="0" count="1">
            <x v="8"/>
          </reference>
        </references>
      </pivotArea>
    </format>
    <format dxfId="475">
      <pivotArea dataOnly="0" labelOnly="1" outline="0" offset="IV1" fieldPosition="0">
        <references count="1">
          <reference field="0" count="1">
            <x v="9"/>
          </reference>
        </references>
      </pivotArea>
    </format>
    <format dxfId="474">
      <pivotArea dataOnly="0" labelOnly="1" outline="0" offset="IV1" fieldPosition="0">
        <references count="1">
          <reference field="0" count="1">
            <x v="10"/>
          </reference>
        </references>
      </pivotArea>
    </format>
    <format dxfId="473">
      <pivotArea dataOnly="0" labelOnly="1" outline="0" offset="IV1" fieldPosition="0">
        <references count="1">
          <reference field="0" count="1">
            <x v="11"/>
          </reference>
        </references>
      </pivotArea>
    </format>
    <format dxfId="472">
      <pivotArea dataOnly="0" labelOnly="1" outline="0" offset="IV1" fieldPosition="0">
        <references count="1">
          <reference field="0" count="1">
            <x v="12"/>
          </reference>
        </references>
      </pivotArea>
    </format>
    <format dxfId="471">
      <pivotArea dataOnly="0" labelOnly="1" outline="0" offset="IV1" fieldPosition="0">
        <references count="1">
          <reference field="0" count="1">
            <x v="13"/>
          </reference>
        </references>
      </pivotArea>
    </format>
    <format dxfId="470">
      <pivotArea dataOnly="0" labelOnly="1" outline="0" offset="IV1" fieldPosition="0">
        <references count="1">
          <reference field="0" count="1">
            <x v="14"/>
          </reference>
        </references>
      </pivotArea>
    </format>
    <format dxfId="469">
      <pivotArea dataOnly="0" labelOnly="1" outline="0" offset="IV1" fieldPosition="0">
        <references count="1">
          <reference field="0" count="1">
            <x v="15"/>
          </reference>
        </references>
      </pivotArea>
    </format>
    <format dxfId="468">
      <pivotArea type="topRight" dataOnly="0" labelOnly="1" outline="0" offset="Y1:AA1" fieldPosition="0"/>
    </format>
    <format dxfId="467">
      <pivotArea type="topRight" dataOnly="0" labelOnly="1" outline="0" offset="O1:Y1" fieldPosition="0"/>
    </format>
    <format dxfId="466">
      <pivotArea type="topRight" dataOnly="0" labelOnly="1" outline="0" offset="Z1" fieldPosition="0"/>
    </format>
    <format dxfId="465">
      <pivotArea outline="0" fieldPosition="0">
        <references count="2">
          <reference field="4294967294" count="3" selected="0">
            <x v="6"/>
            <x v="7"/>
            <x v="8"/>
          </reference>
          <reference field="0" count="1" selected="0">
            <x v="5"/>
          </reference>
        </references>
      </pivotArea>
    </format>
    <format dxfId="464">
      <pivotArea type="origin" dataOnly="0" labelOnly="1" outline="0" fieldPosition="0"/>
    </format>
    <format dxfId="463">
      <pivotArea field="0" type="button" dataOnly="0" labelOnly="1" outline="0" axis="axisRow" fieldPosition="0"/>
    </format>
    <format dxfId="462">
      <pivotArea dataOnly="0" labelOnly="1" outline="0" fieldPosition="0">
        <references count="1">
          <reference field="0" count="0"/>
        </references>
      </pivotArea>
    </format>
    <format dxfId="461">
      <pivotArea field="0" dataOnly="0" labelOnly="1" grandRow="1" outline="0" offset="A256" axis="axisRow" fieldPosition="0">
        <references count="1">
          <reference field="4294967294" count="1" selected="0">
            <x v="0"/>
          </reference>
        </references>
      </pivotArea>
    </format>
    <format dxfId="460">
      <pivotArea field="0" dataOnly="0" labelOnly="1" grandRow="1" outline="0" offset="A256" axis="axisRow" fieldPosition="0">
        <references count="1">
          <reference field="4294967294" count="1" selected="0">
            <x v="1"/>
          </reference>
        </references>
      </pivotArea>
    </format>
    <format dxfId="459">
      <pivotArea field="0" dataOnly="0" labelOnly="1" grandRow="1" outline="0" offset="A256" axis="axisRow" fieldPosition="0">
        <references count="1">
          <reference field="4294967294" count="1" selected="0">
            <x v="2"/>
          </reference>
        </references>
      </pivotArea>
    </format>
    <format dxfId="458">
      <pivotArea field="0" dataOnly="0" labelOnly="1" grandRow="1" outline="0" offset="A256" axis="axisRow" fieldPosition="0">
        <references count="1">
          <reference field="4294967294" count="1" selected="0">
            <x v="3"/>
          </reference>
        </references>
      </pivotArea>
    </format>
    <format dxfId="457">
      <pivotArea field="0" dataOnly="0" labelOnly="1" grandRow="1" outline="0" offset="A256" axis="axisRow" fieldPosition="0">
        <references count="1">
          <reference field="4294967294" count="1" selected="0">
            <x v="4"/>
          </reference>
        </references>
      </pivotArea>
    </format>
    <format dxfId="456">
      <pivotArea field="0" dataOnly="0" labelOnly="1" grandRow="1" outline="0" offset="A256" axis="axisRow" fieldPosition="0">
        <references count="1">
          <reference field="4294967294" count="1" selected="0">
            <x v="5"/>
          </reference>
        </references>
      </pivotArea>
    </format>
    <format dxfId="455">
      <pivotArea field="0" dataOnly="0" labelOnly="1" grandRow="1" outline="0" offset="A256" axis="axisRow" fieldPosition="0">
        <references count="1">
          <reference field="4294967294" count="1" selected="0">
            <x v="6"/>
          </reference>
        </references>
      </pivotArea>
    </format>
    <format dxfId="454">
      <pivotArea field="0" dataOnly="0" labelOnly="1" grandRow="1" outline="0" offset="A256" axis="axisRow" fieldPosition="0">
        <references count="1">
          <reference field="4294967294" count="1" selected="0">
            <x v="7"/>
          </reference>
        </references>
      </pivotArea>
    </format>
    <format dxfId="453">
      <pivotArea field="0" dataOnly="0" labelOnly="1" grandRow="1" outline="0" offset="A256" axis="axisRow" fieldPosition="0">
        <references count="1">
          <reference field="4294967294" count="1" selected="0">
            <x v="8"/>
          </reference>
        </references>
      </pivotArea>
    </format>
    <format dxfId="452">
      <pivotArea field="0" dataOnly="0" labelOnly="1" grandRow="1" outline="0" offset="A256" axis="axisRow" fieldPosition="0">
        <references count="1">
          <reference field="4294967294" count="1" selected="0">
            <x v="10"/>
          </reference>
        </references>
      </pivotArea>
    </format>
    <format dxfId="451">
      <pivotArea field="0" dataOnly="0" labelOnly="1" grandRow="1" outline="0" offset="A256" axis="axisRow" fieldPosition="0">
        <references count="1">
          <reference field="4294967294" count="1" selected="0">
            <x v="11"/>
          </reference>
        </references>
      </pivotArea>
    </format>
    <format dxfId="450">
      <pivotArea outline="0" fieldPosition="0">
        <references count="2">
          <reference field="4294967294" count="1" selected="0">
            <x v="11"/>
          </reference>
          <reference field="0" count="1" selected="0">
            <x v="0"/>
          </reference>
        </references>
      </pivotArea>
    </format>
    <format dxfId="449">
      <pivotArea dataOnly="0" labelOnly="1" outline="0" offset="IV11:IV256" fieldPosition="0">
        <references count="1">
          <reference field="0" count="1">
            <x v="0"/>
          </reference>
        </references>
      </pivotArea>
    </format>
    <format dxfId="448">
      <pivotArea outline="0" fieldPosition="0">
        <references count="2">
          <reference field="4294967294" count="1" selected="0">
            <x v="11"/>
          </reference>
          <reference field="0" count="1" selected="0">
            <x v="0"/>
          </reference>
        </references>
      </pivotArea>
    </format>
    <format dxfId="447">
      <pivotArea dataOnly="0" labelOnly="1" outline="0" offset="IV256" fieldPosition="0">
        <references count="1">
          <reference field="0" count="1">
            <x v="15"/>
          </reference>
        </references>
      </pivotArea>
    </format>
    <format dxfId="446">
      <pivotArea dataOnly="0" labelOnly="1" outline="0" fieldPosition="0">
        <references count="2">
          <reference field="4294967294" count="1">
            <x v="11"/>
          </reference>
          <reference field="0" count="1" selected="0">
            <x v="15"/>
          </reference>
        </references>
      </pivotArea>
    </format>
    <format dxfId="445">
      <pivotArea dataOnly="0" labelOnly="1" outline="0" offset="IV256" fieldPosition="0">
        <references count="1">
          <reference field="0" count="1">
            <x v="14"/>
          </reference>
        </references>
      </pivotArea>
    </format>
    <format dxfId="444">
      <pivotArea dataOnly="0" labelOnly="1" outline="0" fieldPosition="0">
        <references count="2">
          <reference field="4294967294" count="1">
            <x v="11"/>
          </reference>
          <reference field="0" count="1" selected="0">
            <x v="14"/>
          </reference>
        </references>
      </pivotArea>
    </format>
    <format dxfId="443">
      <pivotArea dataOnly="0" labelOnly="1" outline="0" offset="IV256" fieldPosition="0">
        <references count="1">
          <reference field="0" count="1">
            <x v="13"/>
          </reference>
        </references>
      </pivotArea>
    </format>
    <format dxfId="442">
      <pivotArea dataOnly="0" labelOnly="1" outline="0" fieldPosition="0">
        <references count="2">
          <reference field="4294967294" count="1">
            <x v="11"/>
          </reference>
          <reference field="0" count="1" selected="0">
            <x v="13"/>
          </reference>
        </references>
      </pivotArea>
    </format>
    <format dxfId="441">
      <pivotArea dataOnly="0" labelOnly="1" outline="0" offset="IV256" fieldPosition="0">
        <references count="1">
          <reference field="0" count="1">
            <x v="12"/>
          </reference>
        </references>
      </pivotArea>
    </format>
    <format dxfId="440">
      <pivotArea dataOnly="0" labelOnly="1" outline="0" fieldPosition="0">
        <references count="2">
          <reference field="4294967294" count="1">
            <x v="11"/>
          </reference>
          <reference field="0" count="1" selected="0">
            <x v="12"/>
          </reference>
        </references>
      </pivotArea>
    </format>
    <format dxfId="439">
      <pivotArea dataOnly="0" labelOnly="1" outline="0" offset="IV256" fieldPosition="0">
        <references count="1">
          <reference field="0" count="1">
            <x v="11"/>
          </reference>
        </references>
      </pivotArea>
    </format>
    <format dxfId="438">
      <pivotArea dataOnly="0" labelOnly="1" outline="0" fieldPosition="0">
        <references count="2">
          <reference field="4294967294" count="1">
            <x v="11"/>
          </reference>
          <reference field="0" count="1" selected="0">
            <x v="11"/>
          </reference>
        </references>
      </pivotArea>
    </format>
    <format dxfId="437">
      <pivotArea dataOnly="0" labelOnly="1" outline="0" offset="IV256" fieldPosition="0">
        <references count="1">
          <reference field="0" count="1">
            <x v="10"/>
          </reference>
        </references>
      </pivotArea>
    </format>
    <format dxfId="436">
      <pivotArea dataOnly="0" labelOnly="1" outline="0" fieldPosition="0">
        <references count="2">
          <reference field="4294967294" count="1">
            <x v="11"/>
          </reference>
          <reference field="0" count="1" selected="0">
            <x v="10"/>
          </reference>
        </references>
      </pivotArea>
    </format>
    <format dxfId="435">
      <pivotArea dataOnly="0" labelOnly="1" outline="0" offset="IV256" fieldPosition="0">
        <references count="1">
          <reference field="0" count="1">
            <x v="9"/>
          </reference>
        </references>
      </pivotArea>
    </format>
    <format dxfId="434">
      <pivotArea dataOnly="0" labelOnly="1" outline="0" fieldPosition="0">
        <references count="2">
          <reference field="4294967294" count="1">
            <x v="11"/>
          </reference>
          <reference field="0" count="1" selected="0">
            <x v="9"/>
          </reference>
        </references>
      </pivotArea>
    </format>
    <format dxfId="433">
      <pivotArea dataOnly="0" labelOnly="1" outline="0" offset="IV256" fieldPosition="0">
        <references count="1">
          <reference field="0" count="1">
            <x v="8"/>
          </reference>
        </references>
      </pivotArea>
    </format>
    <format dxfId="432">
      <pivotArea dataOnly="0" labelOnly="1" outline="0" fieldPosition="0">
        <references count="2">
          <reference field="4294967294" count="1">
            <x v="11"/>
          </reference>
          <reference field="0" count="1" selected="0">
            <x v="8"/>
          </reference>
        </references>
      </pivotArea>
    </format>
    <format dxfId="431">
      <pivotArea dataOnly="0" labelOnly="1" outline="0" offset="IV256" fieldPosition="0">
        <references count="1">
          <reference field="0" count="1">
            <x v="7"/>
          </reference>
        </references>
      </pivotArea>
    </format>
    <format dxfId="430">
      <pivotArea dataOnly="0" labelOnly="1" outline="0" fieldPosition="0">
        <references count="2">
          <reference field="4294967294" count="1">
            <x v="11"/>
          </reference>
          <reference field="0" count="1" selected="0">
            <x v="7"/>
          </reference>
        </references>
      </pivotArea>
    </format>
    <format dxfId="429">
      <pivotArea dataOnly="0" labelOnly="1" outline="0" offset="IV256" fieldPosition="0">
        <references count="1">
          <reference field="0" count="1">
            <x v="6"/>
          </reference>
        </references>
      </pivotArea>
    </format>
    <format dxfId="428">
      <pivotArea dataOnly="0" labelOnly="1" outline="0" fieldPosition="0">
        <references count="2">
          <reference field="4294967294" count="1">
            <x v="11"/>
          </reference>
          <reference field="0" count="1" selected="0">
            <x v="6"/>
          </reference>
        </references>
      </pivotArea>
    </format>
    <format dxfId="427">
      <pivotArea dataOnly="0" labelOnly="1" outline="0" offset="IV256" fieldPosition="0">
        <references count="1">
          <reference field="0" count="1">
            <x v="5"/>
          </reference>
        </references>
      </pivotArea>
    </format>
    <format dxfId="426">
      <pivotArea dataOnly="0" labelOnly="1" outline="0" fieldPosition="0">
        <references count="2">
          <reference field="4294967294" count="1">
            <x v="11"/>
          </reference>
          <reference field="0" count="1" selected="0">
            <x v="5"/>
          </reference>
        </references>
      </pivotArea>
    </format>
    <format dxfId="425">
      <pivotArea dataOnly="0" labelOnly="1" outline="0" offset="IV256" fieldPosition="0">
        <references count="1">
          <reference field="0" count="1">
            <x v="4"/>
          </reference>
        </references>
      </pivotArea>
    </format>
    <format dxfId="424">
      <pivotArea dataOnly="0" labelOnly="1" outline="0" fieldPosition="0">
        <references count="2">
          <reference field="4294967294" count="1">
            <x v="11"/>
          </reference>
          <reference field="0" count="1" selected="0">
            <x v="4"/>
          </reference>
        </references>
      </pivotArea>
    </format>
    <format dxfId="423">
      <pivotArea dataOnly="0" labelOnly="1" outline="0" offset="IV256" fieldPosition="0">
        <references count="1">
          <reference field="0" count="1">
            <x v="3"/>
          </reference>
        </references>
      </pivotArea>
    </format>
    <format dxfId="422">
      <pivotArea dataOnly="0" labelOnly="1" outline="0" fieldPosition="0">
        <references count="2">
          <reference field="4294967294" count="1">
            <x v="11"/>
          </reference>
          <reference field="0" count="1" selected="0">
            <x v="3"/>
          </reference>
        </references>
      </pivotArea>
    </format>
    <format dxfId="421">
      <pivotArea dataOnly="0" labelOnly="1" outline="0" offset="IV256" fieldPosition="0">
        <references count="1">
          <reference field="0" count="1">
            <x v="2"/>
          </reference>
        </references>
      </pivotArea>
    </format>
    <format dxfId="420">
      <pivotArea dataOnly="0" labelOnly="1" outline="0" fieldPosition="0">
        <references count="2">
          <reference field="4294967294" count="1">
            <x v="11"/>
          </reference>
          <reference field="0" count="1" selected="0">
            <x v="2"/>
          </reference>
        </references>
      </pivotArea>
    </format>
    <format dxfId="419">
      <pivotArea dataOnly="0" labelOnly="1" outline="0" offset="IV256" fieldPosition="0">
        <references count="1">
          <reference field="0" count="1">
            <x v="1"/>
          </reference>
        </references>
      </pivotArea>
    </format>
    <format dxfId="418">
      <pivotArea dataOnly="0" labelOnly="1" outline="0" fieldPosition="0">
        <references count="2">
          <reference field="4294967294" count="1">
            <x v="11"/>
          </reference>
          <reference field="0" count="1" selected="0">
            <x v="1"/>
          </reference>
        </references>
      </pivotArea>
    </format>
    <format dxfId="417">
      <pivotArea dataOnly="0" labelOnly="1" outline="0" offset="IV256" fieldPosition="0">
        <references count="1">
          <reference field="0" count="1">
            <x v="0"/>
          </reference>
        </references>
      </pivotArea>
    </format>
    <format dxfId="416">
      <pivotArea dataOnly="0" labelOnly="1" outline="0" fieldPosition="0">
        <references count="2">
          <reference field="4294967294" count="1">
            <x v="11"/>
          </reference>
          <reference field="0" count="1" selected="0">
            <x v="0"/>
          </reference>
        </references>
      </pivotArea>
    </format>
    <format dxfId="415">
      <pivotArea outline="0" fieldPosition="0">
        <references count="2">
          <reference field="4294967294" count="1" selected="0">
            <x v="11"/>
          </reference>
          <reference field="0" count="1" selected="0">
            <x v="0"/>
          </reference>
        </references>
      </pivotArea>
    </format>
    <format dxfId="414">
      <pivotArea dataOnly="0" labelOnly="1" outline="0" fieldPosition="0">
        <references count="2">
          <reference field="4294967294" count="1">
            <x v="11"/>
          </reference>
          <reference field="0" count="1" selected="0">
            <x v="0"/>
          </reference>
        </references>
      </pivotArea>
    </format>
    <format dxfId="413">
      <pivotArea dataOnly="0" labelOnly="1" outline="0" fieldPosition="0">
        <references count="2">
          <reference field="4294967294" count="1">
            <x v="11"/>
          </reference>
          <reference field="0" count="1" selected="0">
            <x v="0"/>
          </reference>
        </references>
      </pivotArea>
    </format>
    <format dxfId="412">
      <pivotArea dataOnly="0" labelOnly="1" outline="0" fieldPosition="0">
        <references count="2">
          <reference field="4294967294" count="1">
            <x v="11"/>
          </reference>
          <reference field="0" count="1" selected="0">
            <x v="1"/>
          </reference>
        </references>
      </pivotArea>
    </format>
    <format dxfId="411">
      <pivotArea dataOnly="0" labelOnly="1" outline="0" fieldPosition="0">
        <references count="2">
          <reference field="4294967294" count="1">
            <x v="11"/>
          </reference>
          <reference field="0" count="1" selected="0">
            <x v="2"/>
          </reference>
        </references>
      </pivotArea>
    </format>
    <format dxfId="410">
      <pivotArea dataOnly="0" labelOnly="1" outline="0" fieldPosition="0">
        <references count="2">
          <reference field="4294967294" count="1">
            <x v="11"/>
          </reference>
          <reference field="0" count="1" selected="0">
            <x v="3"/>
          </reference>
        </references>
      </pivotArea>
    </format>
    <format dxfId="409">
      <pivotArea dataOnly="0" labelOnly="1" outline="0" fieldPosition="0">
        <references count="2">
          <reference field="4294967294" count="1">
            <x v="11"/>
          </reference>
          <reference field="0" count="1" selected="0">
            <x v="4"/>
          </reference>
        </references>
      </pivotArea>
    </format>
    <format dxfId="408">
      <pivotArea dataOnly="0" labelOnly="1" outline="0" fieldPosition="0">
        <references count="2">
          <reference field="4294967294" count="1">
            <x v="11"/>
          </reference>
          <reference field="0" count="1" selected="0">
            <x v="5"/>
          </reference>
        </references>
      </pivotArea>
    </format>
    <format dxfId="407">
      <pivotArea dataOnly="0" labelOnly="1" outline="0" fieldPosition="0">
        <references count="2">
          <reference field="4294967294" count="1">
            <x v="11"/>
          </reference>
          <reference field="0" count="1" selected="0">
            <x v="6"/>
          </reference>
        </references>
      </pivotArea>
    </format>
    <format dxfId="406">
      <pivotArea dataOnly="0" labelOnly="1" outline="0" fieldPosition="0">
        <references count="2">
          <reference field="4294967294" count="1">
            <x v="11"/>
          </reference>
          <reference field="0" count="1" selected="0">
            <x v="7"/>
          </reference>
        </references>
      </pivotArea>
    </format>
    <format dxfId="405">
      <pivotArea dataOnly="0" labelOnly="1" outline="0" fieldPosition="0">
        <references count="2">
          <reference field="4294967294" count="1">
            <x v="11"/>
          </reference>
          <reference field="0" count="1" selected="0">
            <x v="8"/>
          </reference>
        </references>
      </pivotArea>
    </format>
    <format dxfId="404">
      <pivotArea dataOnly="0" labelOnly="1" outline="0" fieldPosition="0">
        <references count="2">
          <reference field="4294967294" count="1">
            <x v="11"/>
          </reference>
          <reference field="0" count="1" selected="0">
            <x v="9"/>
          </reference>
        </references>
      </pivotArea>
    </format>
    <format dxfId="403">
      <pivotArea dataOnly="0" labelOnly="1" outline="0" fieldPosition="0">
        <references count="2">
          <reference field="4294967294" count="1">
            <x v="11"/>
          </reference>
          <reference field="0" count="1" selected="0">
            <x v="10"/>
          </reference>
        </references>
      </pivotArea>
    </format>
    <format dxfId="402">
      <pivotArea dataOnly="0" labelOnly="1" outline="0" fieldPosition="0">
        <references count="2">
          <reference field="4294967294" count="1">
            <x v="11"/>
          </reference>
          <reference field="0" count="1" selected="0">
            <x v="11"/>
          </reference>
        </references>
      </pivotArea>
    </format>
    <format dxfId="401">
      <pivotArea dataOnly="0" labelOnly="1" outline="0" fieldPosition="0">
        <references count="2">
          <reference field="4294967294" count="1">
            <x v="11"/>
          </reference>
          <reference field="0" count="1" selected="0">
            <x v="12"/>
          </reference>
        </references>
      </pivotArea>
    </format>
    <format dxfId="400">
      <pivotArea dataOnly="0" labelOnly="1" outline="0" fieldPosition="0">
        <references count="2">
          <reference field="4294967294" count="1">
            <x v="11"/>
          </reference>
          <reference field="0" count="1" selected="0">
            <x v="13"/>
          </reference>
        </references>
      </pivotArea>
    </format>
    <format dxfId="399">
      <pivotArea dataOnly="0" labelOnly="1" outline="0" fieldPosition="0">
        <references count="2">
          <reference field="4294967294" count="1">
            <x v="11"/>
          </reference>
          <reference field="0" count="1" selected="0">
            <x v="14"/>
          </reference>
        </references>
      </pivotArea>
    </format>
    <format dxfId="398">
      <pivotArea dataOnly="0" labelOnly="1" outline="0" fieldPosition="0">
        <references count="2">
          <reference field="4294967294" count="1">
            <x v="11"/>
          </reference>
          <reference field="0" count="1" selected="0">
            <x v="15"/>
          </reference>
        </references>
      </pivotArea>
    </format>
    <format dxfId="397">
      <pivotArea type="topRight" dataOnly="0" labelOnly="1" outline="0" offset="O1:R1" fieldPosition="0"/>
    </format>
    <format dxfId="396">
      <pivotArea dataOnly="0" labelOnly="1" outline="0" offset="IV256" fieldPosition="0">
        <references count="1">
          <reference field="59" count="1" defaultSubtotal="1">
            <x v="0"/>
          </reference>
        </references>
      </pivotArea>
    </format>
    <format dxfId="395">
      <pivotArea dataOnly="0" labelOnly="1" outline="0" offset="IV256" fieldPosition="0">
        <references count="1">
          <reference field="59" count="1" defaultSubtotal="1">
            <x v="1"/>
          </reference>
        </references>
      </pivotArea>
    </format>
    <format dxfId="394">
      <pivotArea dataOnly="0" labelOnly="1" outline="0" offset="IV256" fieldPosition="0">
        <references count="1">
          <reference field="59" count="1" defaultSubtotal="1">
            <x v="3"/>
          </reference>
        </references>
      </pivotArea>
    </format>
    <format dxfId="393">
      <pivotArea dataOnly="0" labelOnly="1" outline="0" offset="IV256" fieldPosition="0">
        <references count="1">
          <reference field="59" count="1" defaultSubtotal="1">
            <x v="5"/>
          </reference>
        </references>
      </pivotArea>
    </format>
    <format dxfId="392">
      <pivotArea dataOnly="0" labelOnly="1" outline="0" offset="IV256" fieldPosition="0">
        <references count="1">
          <reference field="59" count="1" defaultSubtotal="1">
            <x v="6"/>
          </reference>
        </references>
      </pivotArea>
    </format>
    <format dxfId="391">
      <pivotArea dataOnly="0" labelOnly="1" outline="0" fieldPosition="0">
        <references count="2">
          <reference field="3" count="6">
            <x v="0"/>
            <x v="1"/>
            <x v="2"/>
            <x v="3"/>
            <x v="4"/>
            <x v="5"/>
          </reference>
          <reference field="59" count="1" selected="0">
            <x v="0"/>
          </reference>
        </references>
      </pivotArea>
    </format>
    <format dxfId="390">
      <pivotArea dataOnly="0" labelOnly="1" outline="0" fieldPosition="0">
        <references count="2">
          <reference field="3" count="4">
            <x v="6"/>
            <x v="7"/>
            <x v="8"/>
            <x v="9"/>
          </reference>
          <reference field="59" count="1" selected="0">
            <x v="1"/>
          </reference>
        </references>
      </pivotArea>
    </format>
    <format dxfId="389">
      <pivotArea dataOnly="0" labelOnly="1" outline="0" fieldPosition="0">
        <references count="2">
          <reference field="3" count="3">
            <x v="11"/>
            <x v="12"/>
            <x v="13"/>
          </reference>
          <reference field="59" count="1" selected="0">
            <x v="3"/>
          </reference>
        </references>
      </pivotArea>
    </format>
    <format dxfId="388">
      <pivotArea dataOnly="0" labelOnly="1" outline="0" fieldPosition="0">
        <references count="2">
          <reference field="3" count="1">
            <x v="15"/>
          </reference>
          <reference field="59" count="1" selected="0">
            <x v="5"/>
          </reference>
        </references>
      </pivotArea>
    </format>
    <format dxfId="387">
      <pivotArea dataOnly="0" labelOnly="1" outline="0" fieldPosition="0">
        <references count="2">
          <reference field="3" count="1">
            <x v="16"/>
          </reference>
          <reference field="59" count="1" selected="0">
            <x v="6"/>
          </reference>
        </references>
      </pivotArea>
    </format>
    <format dxfId="386">
      <pivotArea outline="0" fieldPosition="0">
        <references count="4">
          <reference field="4294967294" count="1" selected="0">
            <x v="0"/>
          </reference>
          <reference field="0" count="1" selected="0">
            <x v="0"/>
          </reference>
          <reference field="3" count="1" selected="0">
            <x v="0"/>
          </reference>
          <reference field="59" count="1" selected="0">
            <x v="0"/>
          </reference>
        </references>
      </pivotArea>
    </format>
    <format dxfId="385">
      <pivotArea dataOnly="0" labelOnly="1" outline="0" fieldPosition="0">
        <references count="1">
          <reference field="59" count="1" defaultSubtotal="1">
            <x v="0"/>
          </reference>
        </references>
      </pivotArea>
    </format>
    <format dxfId="384">
      <pivotArea dataOnly="0" labelOnly="1" outline="0" fieldPosition="0">
        <references count="1">
          <reference field="59" count="1" defaultSubtotal="1">
            <x v="1"/>
          </reference>
        </references>
      </pivotArea>
    </format>
    <format dxfId="383">
      <pivotArea dataOnly="0" labelOnly="1" outline="0" fieldPosition="0">
        <references count="1">
          <reference field="59" count="1" defaultSubtotal="1">
            <x v="3"/>
          </reference>
        </references>
      </pivotArea>
    </format>
    <format dxfId="382">
      <pivotArea outline="0" collapsedLevelsAreSubtotals="1" fieldPosition="0">
        <references count="4">
          <reference field="4294967294" count="3" selected="0">
            <x v="6"/>
            <x v="7"/>
            <x v="8"/>
          </reference>
          <reference field="0" count="1" selected="0">
            <x v="0"/>
          </reference>
          <reference field="3" count="1" selected="0">
            <x v="4"/>
          </reference>
          <reference field="59" count="1" selected="0">
            <x v="0"/>
          </reference>
        </references>
      </pivotArea>
    </format>
    <format dxfId="381">
      <pivotArea outline="0" collapsedLevelsAreSubtotals="1" fieldPosition="0">
        <references count="4">
          <reference field="4294967294" count="1" selected="0">
            <x v="8"/>
          </reference>
          <reference field="0" count="1" selected="0">
            <x v="0"/>
          </reference>
          <reference field="3" count="1" selected="0">
            <x v="4"/>
          </reference>
          <reference field="59" count="1" selected="0">
            <x v="0"/>
          </reference>
        </references>
      </pivotArea>
    </format>
    <format dxfId="380">
      <pivotArea outline="0" collapsedLevelsAreSubtotals="1" fieldPosition="0">
        <references count="2">
          <reference field="4294967294" count="1" selected="0">
            <x v="2"/>
          </reference>
          <reference field="0" count="1" selected="0">
            <x v="0"/>
          </reference>
        </references>
      </pivotArea>
    </format>
    <format dxfId="379">
      <pivotArea outline="0" collapsedLevelsAreSubtotals="1" fieldPosition="0">
        <references count="1">
          <reference field="59" count="4" selected="0" defaultSubtotal="1">
            <x v="5"/>
            <x v="6"/>
            <x v="7"/>
            <x v="8"/>
          </reference>
        </references>
      </pivotArea>
    </format>
    <format dxfId="378">
      <pivotArea type="topRight" dataOnly="0" labelOnly="1" outline="0" offset="O1:X1" fieldPosition="0"/>
    </format>
    <format dxfId="377">
      <pivotArea dataOnly="0" labelOnly="1" outline="0" fieldPosition="0">
        <references count="1">
          <reference field="59" count="4">
            <x v="5"/>
            <x v="6"/>
            <x v="7"/>
            <x v="8"/>
          </reference>
        </references>
      </pivotArea>
    </format>
    <format dxfId="376">
      <pivotArea dataOnly="0" labelOnly="1" outline="0" fieldPosition="0">
        <references count="1">
          <reference field="59" count="4" defaultSubtotal="1">
            <x v="5"/>
            <x v="6"/>
            <x v="7"/>
            <x v="8"/>
          </reference>
        </references>
      </pivotArea>
    </format>
    <format dxfId="375">
      <pivotArea dataOnly="0" labelOnly="1" outline="0" fieldPosition="0">
        <references count="2">
          <reference field="3" count="1">
            <x v="15"/>
          </reference>
          <reference field="59" count="1" selected="0">
            <x v="5"/>
          </reference>
        </references>
      </pivotArea>
    </format>
    <format dxfId="374">
      <pivotArea dataOnly="0" labelOnly="1" outline="0" fieldPosition="0">
        <references count="2">
          <reference field="3" count="1">
            <x v="16"/>
          </reference>
          <reference field="59" count="1" selected="0">
            <x v="6"/>
          </reference>
        </references>
      </pivotArea>
    </format>
    <format dxfId="373">
      <pivotArea dataOnly="0" labelOnly="1" outline="0" fieldPosition="0">
        <references count="2">
          <reference field="3" count="1">
            <x v="17"/>
          </reference>
          <reference field="59" count="1" selected="0">
            <x v="7"/>
          </reference>
        </references>
      </pivotArea>
    </format>
    <format dxfId="372">
      <pivotArea dataOnly="0" labelOnly="1" outline="0" fieldPosition="0">
        <references count="2">
          <reference field="3" count="1">
            <x v="18"/>
          </reference>
          <reference field="59" count="1" selected="0">
            <x v="8"/>
          </reference>
        </references>
      </pivotArea>
    </format>
    <format dxfId="371">
      <pivotArea outline="0" collapsedLevelsAreSubtotals="1" fieldPosition="0">
        <references count="4">
          <reference field="4294967294" count="1" selected="0">
            <x v="2"/>
          </reference>
          <reference field="0" count="1" selected="0">
            <x v="0"/>
          </reference>
          <reference field="3" count="2" selected="0">
            <x v="8"/>
            <x v="9"/>
          </reference>
          <reference field="59" count="1" selected="0">
            <x v="1"/>
          </reference>
        </references>
      </pivotArea>
    </format>
    <format dxfId="370">
      <pivotArea outline="0" collapsedLevelsAreSubtotals="1" fieldPosition="0">
        <references count="3">
          <reference field="4294967294" count="1" selected="0">
            <x v="2"/>
          </reference>
          <reference field="0" count="1" selected="0">
            <x v="0"/>
          </reference>
          <reference field="59" count="1" selected="0" defaultSubtotal="1">
            <x v="1"/>
          </reference>
        </references>
      </pivotArea>
    </format>
    <format dxfId="369">
      <pivotArea outline="0" collapsedLevelsAreSubtotals="1" fieldPosition="0">
        <references count="4">
          <reference field="4294967294" count="1" selected="0">
            <x v="2"/>
          </reference>
          <reference field="0" count="1" selected="0">
            <x v="0"/>
          </reference>
          <reference field="3" count="2" selected="0">
            <x v="11"/>
            <x v="12"/>
          </reference>
          <reference field="59" count="1" selected="0">
            <x v="3"/>
          </reference>
        </references>
      </pivotArea>
    </format>
    <format dxfId="368">
      <pivotArea outline="0" collapsedLevelsAreSubtotals="1" fieldPosition="0">
        <references count="4">
          <reference field="4294967294" count="2" selected="0">
            <x v="6"/>
            <x v="7"/>
          </reference>
          <reference field="0" count="1" selected="0">
            <x v="0"/>
          </reference>
          <reference field="3" count="1" selected="0">
            <x v="4"/>
          </reference>
          <reference field="59" count="1" selected="0">
            <x v="0"/>
          </reference>
        </references>
      </pivotArea>
    </format>
    <format dxfId="367">
      <pivotArea outline="0" collapsedLevelsAreSubtotals="1" fieldPosition="0">
        <references count="4">
          <reference field="4294967294" count="10" selected="0">
            <x v="2"/>
            <x v="3"/>
            <x v="4"/>
            <x v="5"/>
            <x v="6"/>
            <x v="7"/>
            <x v="8"/>
            <x v="9"/>
            <x v="10"/>
            <x v="11"/>
          </reference>
          <reference field="0" count="1" selected="0">
            <x v="0"/>
          </reference>
          <reference field="3" count="1" selected="0">
            <x v="11"/>
          </reference>
          <reference field="59" count="1" selected="0">
            <x v="3"/>
          </reference>
        </references>
      </pivotArea>
    </format>
    <format dxfId="366">
      <pivotArea outline="0" collapsedLevelsAreSubtotals="1" fieldPosition="0">
        <references count="4">
          <reference field="4294967294" count="10" selected="0">
            <x v="2"/>
            <x v="3"/>
            <x v="4"/>
            <x v="5"/>
            <x v="6"/>
            <x v="7"/>
            <x v="8"/>
            <x v="9"/>
            <x v="10"/>
            <x v="11"/>
          </reference>
          <reference field="0" count="1" selected="0">
            <x v="0"/>
          </reference>
          <reference field="3" count="1" selected="0">
            <x v="11"/>
          </reference>
          <reference field="59" count="1" selected="0">
            <x v="3"/>
          </reference>
        </references>
      </pivotArea>
    </format>
    <format dxfId="365">
      <pivotArea outline="0" collapsedLevelsAreSubtotals="1" fieldPosition="0">
        <references count="4">
          <reference field="4294967294" count="1" selected="0">
            <x v="11"/>
          </reference>
          <reference field="0" count="1" selected="0">
            <x v="0"/>
          </reference>
          <reference field="3" count="1" selected="0">
            <x v="11"/>
          </reference>
          <reference field="59" count="1" selected="0">
            <x v="3"/>
          </reference>
        </references>
      </pivotArea>
    </format>
    <format dxfId="364">
      <pivotArea field="0" dataOnly="0" labelOnly="1" grandRow="1" outline="0" axis="axisRow" fieldPosition="0">
        <references count="1">
          <reference field="4294967294" count="1" selected="0">
            <x v="0"/>
          </reference>
        </references>
      </pivotArea>
    </format>
    <format dxfId="363">
      <pivotArea field="0" dataOnly="0" labelOnly="1" grandRow="1" outline="0" axis="axisRow" fieldPosition="0">
        <references count="1">
          <reference field="4294967294" count="1" selected="0">
            <x v="1"/>
          </reference>
        </references>
      </pivotArea>
    </format>
    <format dxfId="362">
      <pivotArea field="0" dataOnly="0" labelOnly="1" grandRow="1" outline="0" axis="axisRow" fieldPosition="0">
        <references count="1">
          <reference field="4294967294" count="1" selected="0">
            <x v="2"/>
          </reference>
        </references>
      </pivotArea>
    </format>
    <format dxfId="361">
      <pivotArea field="0" dataOnly="0" labelOnly="1" grandRow="1" outline="0" axis="axisRow" fieldPosition="0">
        <references count="1">
          <reference field="4294967294" count="1" selected="0">
            <x v="3"/>
          </reference>
        </references>
      </pivotArea>
    </format>
    <format dxfId="360">
      <pivotArea field="0" dataOnly="0" labelOnly="1" grandRow="1" outline="0" axis="axisRow" fieldPosition="0">
        <references count="1">
          <reference field="4294967294" count="1" selected="0">
            <x v="4"/>
          </reference>
        </references>
      </pivotArea>
    </format>
    <format dxfId="359">
      <pivotArea field="0" dataOnly="0" labelOnly="1" grandRow="1" outline="0" axis="axisRow" fieldPosition="0">
        <references count="1">
          <reference field="4294967294" count="1" selected="0">
            <x v="5"/>
          </reference>
        </references>
      </pivotArea>
    </format>
    <format dxfId="358">
      <pivotArea field="0" dataOnly="0" labelOnly="1" grandRow="1" outline="0" axis="axisRow" fieldPosition="0">
        <references count="1">
          <reference field="4294967294" count="1" selected="0">
            <x v="6"/>
          </reference>
        </references>
      </pivotArea>
    </format>
    <format dxfId="357">
      <pivotArea field="0" dataOnly="0" labelOnly="1" grandRow="1" outline="0" axis="axisRow" fieldPosition="0">
        <references count="1">
          <reference field="4294967294" count="1" selected="0">
            <x v="7"/>
          </reference>
        </references>
      </pivotArea>
    </format>
    <format dxfId="356">
      <pivotArea field="0" dataOnly="0" labelOnly="1" grandRow="1" outline="0" axis="axisRow" fieldPosition="0">
        <references count="1">
          <reference field="4294967294" count="1" selected="0">
            <x v="8"/>
          </reference>
        </references>
      </pivotArea>
    </format>
    <format dxfId="355">
      <pivotArea field="0" dataOnly="0" labelOnly="1" grandRow="1" outline="0" axis="axisRow" fieldPosition="0">
        <references count="1">
          <reference field="4294967294" count="1" selected="0">
            <x v="9"/>
          </reference>
        </references>
      </pivotArea>
    </format>
    <format dxfId="354">
      <pivotArea field="0" dataOnly="0" labelOnly="1" grandRow="1" outline="0" axis="axisRow" fieldPosition="0">
        <references count="1">
          <reference field="4294967294" count="1" selected="0">
            <x v="10"/>
          </reference>
        </references>
      </pivotArea>
    </format>
    <format dxfId="353">
      <pivotArea field="0" dataOnly="0" labelOnly="1" grandRow="1" outline="0" axis="axisRow" fieldPosition="0">
        <references count="1">
          <reference field="4294967294" count="1" selected="0">
            <x v="11"/>
          </reference>
        </references>
      </pivotArea>
    </format>
    <format dxfId="352">
      <pivotArea outline="0" collapsedLevelsAreSubtotals="1" fieldPosition="0">
        <references count="4">
          <reference field="4294967294" count="1" selected="0">
            <x v="2"/>
          </reference>
          <reference field="0" count="1" selected="0">
            <x v="0"/>
          </reference>
          <reference field="3" count="1" selected="0">
            <x v="11"/>
          </reference>
          <reference field="59" count="1" selected="0">
            <x v="3"/>
          </reference>
        </references>
      </pivotArea>
    </format>
    <format dxfId="351">
      <pivotArea outline="0" collapsedLevelsAreSubtotals="1" fieldPosition="0">
        <references count="4">
          <reference field="4294967294" count="1" selected="0">
            <x v="2"/>
          </reference>
          <reference field="0" count="1" selected="0">
            <x v="0"/>
          </reference>
          <reference field="3" count="1" selected="0">
            <x v="11"/>
          </reference>
          <reference field="59" count="1" selected="0">
            <x v="3"/>
          </reference>
        </references>
      </pivotArea>
    </format>
    <format dxfId="350">
      <pivotArea outline="0" collapsedLevelsAreSubtotals="1" fieldPosition="0">
        <references count="4">
          <reference field="4294967294" count="1" selected="0">
            <x v="8"/>
          </reference>
          <reference field="0" count="1" selected="0">
            <x v="0"/>
          </reference>
          <reference field="3" count="1" selected="0">
            <x v="3"/>
          </reference>
          <reference field="59" count="1" selected="0">
            <x v="0"/>
          </reference>
        </references>
      </pivotArea>
    </format>
    <format dxfId="349">
      <pivotArea outline="0" collapsedLevelsAreSubtotals="1" fieldPosition="0">
        <references count="4">
          <reference field="4294967294" count="1" selected="0">
            <x v="8"/>
          </reference>
          <reference field="0" count="1" selected="0">
            <x v="0"/>
          </reference>
          <reference field="3" count="1" selected="0">
            <x v="3"/>
          </reference>
          <reference field="59" count="1" selected="0">
            <x v="0"/>
          </reference>
        </references>
      </pivotArea>
    </format>
    <format dxfId="348">
      <pivotArea outline="0" collapsedLevelsAreSubtotals="1" fieldPosition="0">
        <references count="4">
          <reference field="4294967294" count="1" selected="0">
            <x v="8"/>
          </reference>
          <reference field="0" count="1" selected="0">
            <x v="0"/>
          </reference>
          <reference field="3" count="1" selected="0">
            <x v="3"/>
          </reference>
          <reference field="59" count="1" selected="0">
            <x v="0"/>
          </reference>
        </references>
      </pivotArea>
    </format>
    <format dxfId="347">
      <pivotArea outline="0" collapsedLevelsAreSubtotals="1" fieldPosition="0">
        <references count="4">
          <reference field="4294967294" count="1" selected="0">
            <x v="8"/>
          </reference>
          <reference field="0" count="1" selected="0">
            <x v="0"/>
          </reference>
          <reference field="3" count="1" selected="0">
            <x v="4"/>
          </reference>
          <reference field="59" count="1" selected="0">
            <x v="0"/>
          </reference>
        </references>
      </pivotArea>
    </format>
    <format dxfId="346">
      <pivotArea outline="0" collapsedLevelsAreSubtotals="1" fieldPosition="0">
        <references count="4">
          <reference field="4294967294" count="1" selected="0">
            <x v="2"/>
          </reference>
          <reference field="0" count="1" selected="0">
            <x v="0"/>
          </reference>
          <reference field="3" count="1" selected="0">
            <x v="11"/>
          </reference>
          <reference field="59" count="1" selected="0">
            <x v="3"/>
          </reference>
        </references>
      </pivotArea>
    </format>
    <format dxfId="345">
      <pivotArea outline="0" collapsedLevelsAreSubtotals="1" fieldPosition="0">
        <references count="4">
          <reference field="4294967294" count="1" selected="0">
            <x v="2"/>
          </reference>
          <reference field="0" count="1" selected="0">
            <x v="0"/>
          </reference>
          <reference field="3" count="1" selected="0">
            <x v="12"/>
          </reference>
          <reference field="59" count="1" selected="0">
            <x v="3"/>
          </reference>
        </references>
      </pivotArea>
    </format>
    <format dxfId="344">
      <pivotArea outline="0" collapsedLevelsAreSubtotals="1" fieldPosition="0">
        <references count="4">
          <reference field="4294967294" count="1" selected="0">
            <x v="2"/>
          </reference>
          <reference field="0" count="1" selected="0">
            <x v="0"/>
          </reference>
          <reference field="3" count="1" selected="0">
            <x v="8"/>
          </reference>
          <reference field="59" count="1" selected="0">
            <x v="1"/>
          </reference>
        </references>
      </pivotArea>
    </format>
    <format dxfId="343">
      <pivotArea outline="0" collapsedLevelsAreSubtotals="1" fieldPosition="0">
        <references count="4">
          <reference field="4294967294" count="1" selected="0">
            <x v="2"/>
          </reference>
          <reference field="0" count="1" selected="0">
            <x v="1"/>
          </reference>
          <reference field="3" count="1" selected="0">
            <x v="4"/>
          </reference>
          <reference field="59" count="1" selected="0">
            <x v="0"/>
          </reference>
        </references>
      </pivotArea>
    </format>
    <format dxfId="342">
      <pivotArea outline="0" collapsedLevelsAreSubtotals="1" fieldPosition="0">
        <references count="4">
          <reference field="4294967294" count="1" selected="0">
            <x v="2"/>
          </reference>
          <reference field="0" count="1" selected="0">
            <x v="1"/>
          </reference>
          <reference field="3" count="1" selected="0">
            <x v="5"/>
          </reference>
          <reference field="59" count="1" selected="0">
            <x v="0"/>
          </reference>
        </references>
      </pivotArea>
    </format>
    <format dxfId="341">
      <pivotArea outline="0" collapsedLevelsAreSubtotals="1" fieldPosition="0">
        <references count="4">
          <reference field="4294967294" count="1" selected="0">
            <x v="8"/>
          </reference>
          <reference field="0" count="1" selected="0">
            <x v="1"/>
          </reference>
          <reference field="3" count="1" selected="0">
            <x v="2"/>
          </reference>
          <reference field="59" count="1" selected="0">
            <x v="0"/>
          </reference>
        </references>
      </pivotArea>
    </format>
    <format dxfId="340">
      <pivotArea outline="0" collapsedLevelsAreSubtotals="1" fieldPosition="0">
        <references count="4">
          <reference field="4294967294" count="1" selected="0">
            <x v="8"/>
          </reference>
          <reference field="0" count="1" selected="0">
            <x v="2"/>
          </reference>
          <reference field="3" count="1" selected="0">
            <x v="3"/>
          </reference>
          <reference field="59" count="1" selected="0">
            <x v="0"/>
          </reference>
        </references>
      </pivotArea>
    </format>
    <format dxfId="339">
      <pivotArea outline="0" collapsedLevelsAreSubtotals="1" fieldPosition="0">
        <references count="4">
          <reference field="4294967294" count="1" selected="0">
            <x v="2"/>
          </reference>
          <reference field="0" count="1" selected="0">
            <x v="4"/>
          </reference>
          <reference field="3" count="1" selected="0">
            <x v="11"/>
          </reference>
          <reference field="59" count="1" selected="0">
            <x v="3"/>
          </reference>
        </references>
      </pivotArea>
    </format>
    <format dxfId="338">
      <pivotArea outline="0" collapsedLevelsAreSubtotals="1" fieldPosition="0">
        <references count="4">
          <reference field="4294967294" count="1" selected="0">
            <x v="2"/>
          </reference>
          <reference field="0" count="1" selected="0">
            <x v="4"/>
          </reference>
          <reference field="3" count="1" selected="0">
            <x v="12"/>
          </reference>
          <reference field="59" count="1" selected="0">
            <x v="3"/>
          </reference>
        </references>
      </pivotArea>
    </format>
    <format dxfId="337">
      <pivotArea outline="0" collapsedLevelsAreSubtotals="1" fieldPosition="0">
        <references count="4">
          <reference field="4294967294" count="1" selected="0">
            <x v="2"/>
          </reference>
          <reference field="0" count="1" selected="0">
            <x v="5"/>
          </reference>
          <reference field="3" count="1" selected="0">
            <x v="11"/>
          </reference>
          <reference field="59" count="1" selected="0">
            <x v="3"/>
          </reference>
        </references>
      </pivotArea>
    </format>
    <format dxfId="336">
      <pivotArea outline="0" collapsedLevelsAreSubtotals="1" fieldPosition="0">
        <references count="4">
          <reference field="4294967294" count="1" selected="0">
            <x v="8"/>
          </reference>
          <reference field="0" count="1" selected="0">
            <x v="7"/>
          </reference>
          <reference field="3" count="1" selected="0">
            <x v="1"/>
          </reference>
          <reference field="59" count="1" selected="0">
            <x v="0"/>
          </reference>
        </references>
      </pivotArea>
    </format>
    <format dxfId="335">
      <pivotArea outline="0" collapsedLevelsAreSubtotals="1" fieldPosition="0">
        <references count="4">
          <reference field="4294967294" count="1" selected="0">
            <x v="2"/>
          </reference>
          <reference field="0" count="1" selected="0">
            <x v="11"/>
          </reference>
          <reference field="3" count="1" selected="0">
            <x v="8"/>
          </reference>
          <reference field="59" count="1" selected="0">
            <x v="1"/>
          </reference>
        </references>
      </pivotArea>
    </format>
    <format dxfId="334">
      <pivotArea outline="0" collapsedLevelsAreSubtotals="1" fieldPosition="0">
        <references count="4">
          <reference field="4294967294" count="1" selected="0">
            <x v="8"/>
          </reference>
          <reference field="0" count="1" selected="0">
            <x v="14"/>
          </reference>
          <reference field="3" count="1" selected="0">
            <x v="1"/>
          </reference>
          <reference field="59" count="1" selected="0">
            <x v="0"/>
          </reference>
        </references>
      </pivotArea>
    </format>
    <format dxfId="333">
      <pivotArea outline="0" collapsedLevelsAreSubtotals="1" fieldPosition="0">
        <references count="4">
          <reference field="4294967294" count="1" selected="0">
            <x v="2"/>
          </reference>
          <reference field="0" count="1" selected="0">
            <x v="14"/>
          </reference>
          <reference field="3" count="1" selected="0">
            <x v="9"/>
          </reference>
          <reference field="59" count="1" selected="0">
            <x v="1"/>
          </reference>
        </references>
      </pivotArea>
    </format>
    <format dxfId="332">
      <pivotArea field="0" grandRow="1" outline="0" collapsedLevelsAreSubtotals="1" axis="axisRow" fieldPosition="0">
        <references count="1">
          <reference field="4294967294" count="1" selected="0">
            <x v="11"/>
          </reference>
        </references>
      </pivotArea>
    </format>
    <format dxfId="331">
      <pivotArea field="0" dataOnly="0" labelOnly="1" grandRow="1" outline="0" axis="axisRow" fieldPosition="0">
        <references count="1">
          <reference field="4294967294" count="1" selected="0">
            <x v="0"/>
          </reference>
        </references>
      </pivotArea>
    </format>
    <format dxfId="330">
      <pivotArea field="0" dataOnly="0" labelOnly="1" grandRow="1" outline="0" axis="axisRow" fieldPosition="0">
        <references count="1">
          <reference field="4294967294" count="1" selected="0">
            <x v="1"/>
          </reference>
        </references>
      </pivotArea>
    </format>
    <format dxfId="329">
      <pivotArea field="0" dataOnly="0" labelOnly="1" grandRow="1" outline="0" axis="axisRow" fieldPosition="0">
        <references count="1">
          <reference field="4294967294" count="1" selected="0">
            <x v="2"/>
          </reference>
        </references>
      </pivotArea>
    </format>
    <format dxfId="328">
      <pivotArea field="0" dataOnly="0" labelOnly="1" grandRow="1" outline="0" axis="axisRow" fieldPosition="0">
        <references count="1">
          <reference field="4294967294" count="1" selected="0">
            <x v="3"/>
          </reference>
        </references>
      </pivotArea>
    </format>
    <format dxfId="327">
      <pivotArea field="0" dataOnly="0" labelOnly="1" grandRow="1" outline="0" axis="axisRow" fieldPosition="0">
        <references count="1">
          <reference field="4294967294" count="1" selected="0">
            <x v="4"/>
          </reference>
        </references>
      </pivotArea>
    </format>
    <format dxfId="326">
      <pivotArea field="0" dataOnly="0" labelOnly="1" grandRow="1" outline="0" axis="axisRow" fieldPosition="0">
        <references count="1">
          <reference field="4294967294" count="1" selected="0">
            <x v="5"/>
          </reference>
        </references>
      </pivotArea>
    </format>
    <format dxfId="325">
      <pivotArea field="0" dataOnly="0" labelOnly="1" grandRow="1" outline="0" axis="axisRow" fieldPosition="0">
        <references count="1">
          <reference field="4294967294" count="1" selected="0">
            <x v="6"/>
          </reference>
        </references>
      </pivotArea>
    </format>
    <format dxfId="324">
      <pivotArea field="0" dataOnly="0" labelOnly="1" grandRow="1" outline="0" axis="axisRow" fieldPosition="0">
        <references count="1">
          <reference field="4294967294" count="1" selected="0">
            <x v="7"/>
          </reference>
        </references>
      </pivotArea>
    </format>
    <format dxfId="323">
      <pivotArea field="0" dataOnly="0" labelOnly="1" grandRow="1" outline="0" axis="axisRow" fieldPosition="0">
        <references count="1">
          <reference field="4294967294" count="1" selected="0">
            <x v="8"/>
          </reference>
        </references>
      </pivotArea>
    </format>
    <format dxfId="322">
      <pivotArea field="0" dataOnly="0" labelOnly="1" grandRow="1" outline="0" axis="axisRow" fieldPosition="0">
        <references count="1">
          <reference field="4294967294" count="1" selected="0">
            <x v="9"/>
          </reference>
        </references>
      </pivotArea>
    </format>
    <format dxfId="321">
      <pivotArea field="0" dataOnly="0" labelOnly="1" grandRow="1" outline="0" axis="axisRow" fieldPosition="0">
        <references count="1">
          <reference field="4294967294" count="1" selected="0">
            <x v="10"/>
          </reference>
        </references>
      </pivotArea>
    </format>
    <format dxfId="320">
      <pivotArea field="0" dataOnly="0" labelOnly="1" grandRow="1" outline="0" axis="axisRow" fieldPosition="0">
        <references count="1">
          <reference field="4294967294" count="1" selected="0">
            <x v="11"/>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3" cacheId="3" dataOnRows="1" applyNumberFormats="0" applyBorderFormats="0" applyFontFormats="0" applyPatternFormats="0" applyAlignmentFormats="0" applyWidthHeightFormats="1" dataCaption="Data" updatedVersion="3" minRefreshableVersion="3" asteriskTotals="1" showMemberPropertyTips="0" useAutoFormatting="1" colGrandTotals="0" itemPrintTitles="1" createdVersion="3" indent="0" compact="0" compactData="0" gridDropZones="1">
  <location ref="A3:Z131" firstHeaderRow="1" firstDataRow="3" firstDataCol="2"/>
  <pivotFields count="46">
    <pivotField axis="axisRow" compact="0" outline="0" subtotalTop="0" showAll="0" includeNewItemsInFilter="1">
      <items count="18">
        <item x="0"/>
        <item x="1"/>
        <item x="2"/>
        <item x="3"/>
        <item x="4"/>
        <item x="5"/>
        <item x="6"/>
        <item x="7"/>
        <item x="8"/>
        <item x="9"/>
        <item x="10"/>
        <item x="11"/>
        <item x="12"/>
        <item x="13"/>
        <item x="14"/>
        <item x="16"/>
        <item x="15"/>
        <item t="default"/>
      </items>
    </pivotField>
    <pivotField compact="0" outline="0" subtotalTop="0" showAll="0" includeNewItemsInFilter="1"/>
    <pivotField compact="0" outline="0" subtotalTop="0" showAll="0" includeNewItemsInFilter="1"/>
    <pivotField axis="axisCol" compact="0" outline="0" subtotalTop="0" showAll="0" includeNewItemsInFilter="1">
      <items count="21">
        <item x="0"/>
        <item x="1"/>
        <item x="2"/>
        <item x="3"/>
        <item x="4"/>
        <item x="5"/>
        <item x="11"/>
        <item x="6"/>
        <item x="7"/>
        <item x="8"/>
        <item m="1" x="19"/>
        <item h="1" x="16"/>
        <item h="1" x="17"/>
        <item x="9"/>
        <item x="10"/>
        <item x="13"/>
        <item x="12"/>
        <item x="14"/>
        <item x="15"/>
        <item x="1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11">
        <item n="Four-Year" x="4"/>
        <item n="Two-Year" x="5"/>
        <item x="3"/>
        <item x="1"/>
        <item x="2"/>
        <item n="Technical" x="6"/>
        <item x="0"/>
        <item x="7"/>
        <item x="8"/>
        <item x="9"/>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dragToRow="0" dragToCol="0" dragToPage="0" showAll="0" defaultSubtotal="0"/>
  </pivotFields>
  <rowFields count="2">
    <field x="0"/>
    <field x="-2"/>
  </rowFields>
  <rowItems count="126">
    <i>
      <x/>
      <x/>
    </i>
    <i r="1" i="1">
      <x v="1"/>
    </i>
    <i r="1" i="2">
      <x v="2"/>
    </i>
    <i r="1" i="3">
      <x v="3"/>
    </i>
    <i r="1" i="4">
      <x v="4"/>
    </i>
    <i r="1" i="5">
      <x v="5"/>
    </i>
    <i r="1" i="6">
      <x v="6"/>
    </i>
    <i>
      <x v="1"/>
      <x/>
    </i>
    <i r="1" i="1">
      <x v="1"/>
    </i>
    <i r="1" i="2">
      <x v="2"/>
    </i>
    <i r="1" i="3">
      <x v="3"/>
    </i>
    <i r="1" i="4">
      <x v="4"/>
    </i>
    <i r="1" i="5">
      <x v="5"/>
    </i>
    <i r="1" i="6">
      <x v="6"/>
    </i>
    <i>
      <x v="2"/>
      <x/>
    </i>
    <i r="1" i="1">
      <x v="1"/>
    </i>
    <i r="1" i="2">
      <x v="2"/>
    </i>
    <i r="1" i="3">
      <x v="3"/>
    </i>
    <i r="1" i="4">
      <x v="4"/>
    </i>
    <i r="1" i="5">
      <x v="5"/>
    </i>
    <i r="1" i="6">
      <x v="6"/>
    </i>
    <i>
      <x v="3"/>
      <x/>
    </i>
    <i r="1" i="1">
      <x v="1"/>
    </i>
    <i r="1" i="2">
      <x v="2"/>
    </i>
    <i r="1" i="3">
      <x v="3"/>
    </i>
    <i r="1" i="4">
      <x v="4"/>
    </i>
    <i r="1" i="5">
      <x v="5"/>
    </i>
    <i r="1" i="6">
      <x v="6"/>
    </i>
    <i>
      <x v="4"/>
      <x/>
    </i>
    <i r="1" i="1">
      <x v="1"/>
    </i>
    <i r="1" i="2">
      <x v="2"/>
    </i>
    <i r="1" i="3">
      <x v="3"/>
    </i>
    <i r="1" i="4">
      <x v="4"/>
    </i>
    <i r="1" i="5">
      <x v="5"/>
    </i>
    <i r="1" i="6">
      <x v="6"/>
    </i>
    <i>
      <x v="5"/>
      <x/>
    </i>
    <i r="1" i="1">
      <x v="1"/>
    </i>
    <i r="1" i="2">
      <x v="2"/>
    </i>
    <i r="1" i="3">
      <x v="3"/>
    </i>
    <i r="1" i="4">
      <x v="4"/>
    </i>
    <i r="1" i="5">
      <x v="5"/>
    </i>
    <i r="1" i="6">
      <x v="6"/>
    </i>
    <i>
      <x v="6"/>
      <x/>
    </i>
    <i r="1" i="1">
      <x v="1"/>
    </i>
    <i r="1" i="2">
      <x v="2"/>
    </i>
    <i r="1" i="3">
      <x v="3"/>
    </i>
    <i r="1" i="4">
      <x v="4"/>
    </i>
    <i r="1" i="5">
      <x v="5"/>
    </i>
    <i r="1" i="6">
      <x v="6"/>
    </i>
    <i>
      <x v="7"/>
      <x/>
    </i>
    <i r="1" i="1">
      <x v="1"/>
    </i>
    <i r="1" i="2">
      <x v="2"/>
    </i>
    <i r="1" i="3">
      <x v="3"/>
    </i>
    <i r="1" i="4">
      <x v="4"/>
    </i>
    <i r="1" i="5">
      <x v="5"/>
    </i>
    <i r="1" i="6">
      <x v="6"/>
    </i>
    <i>
      <x v="8"/>
      <x/>
    </i>
    <i r="1" i="1">
      <x v="1"/>
    </i>
    <i r="1" i="2">
      <x v="2"/>
    </i>
    <i r="1" i="3">
      <x v="3"/>
    </i>
    <i r="1" i="4">
      <x v="4"/>
    </i>
    <i r="1" i="5">
      <x v="5"/>
    </i>
    <i r="1" i="6">
      <x v="6"/>
    </i>
    <i>
      <x v="9"/>
      <x/>
    </i>
    <i r="1" i="1">
      <x v="1"/>
    </i>
    <i r="1" i="2">
      <x v="2"/>
    </i>
    <i r="1" i="3">
      <x v="3"/>
    </i>
    <i r="1" i="4">
      <x v="4"/>
    </i>
    <i r="1" i="5">
      <x v="5"/>
    </i>
    <i r="1" i="6">
      <x v="6"/>
    </i>
    <i>
      <x v="10"/>
      <x/>
    </i>
    <i r="1" i="1">
      <x v="1"/>
    </i>
    <i r="1" i="2">
      <x v="2"/>
    </i>
    <i r="1" i="3">
      <x v="3"/>
    </i>
    <i r="1" i="4">
      <x v="4"/>
    </i>
    <i r="1" i="5">
      <x v="5"/>
    </i>
    <i r="1" i="6">
      <x v="6"/>
    </i>
    <i>
      <x v="11"/>
      <x/>
    </i>
    <i r="1" i="1">
      <x v="1"/>
    </i>
    <i r="1" i="2">
      <x v="2"/>
    </i>
    <i r="1" i="3">
      <x v="3"/>
    </i>
    <i r="1" i="4">
      <x v="4"/>
    </i>
    <i r="1" i="5">
      <x v="5"/>
    </i>
    <i r="1" i="6">
      <x v="6"/>
    </i>
    <i>
      <x v="12"/>
      <x/>
    </i>
    <i r="1" i="1">
      <x v="1"/>
    </i>
    <i r="1" i="2">
      <x v="2"/>
    </i>
    <i r="1" i="3">
      <x v="3"/>
    </i>
    <i r="1" i="4">
      <x v="4"/>
    </i>
    <i r="1" i="5">
      <x v="5"/>
    </i>
    <i r="1" i="6">
      <x v="6"/>
    </i>
    <i>
      <x v="13"/>
      <x/>
    </i>
    <i r="1" i="1">
      <x v="1"/>
    </i>
    <i r="1" i="2">
      <x v="2"/>
    </i>
    <i r="1" i="3">
      <x v="3"/>
    </i>
    <i r="1" i="4">
      <x v="4"/>
    </i>
    <i r="1" i="5">
      <x v="5"/>
    </i>
    <i r="1" i="6">
      <x v="6"/>
    </i>
    <i>
      <x v="14"/>
      <x/>
    </i>
    <i r="1" i="1">
      <x v="1"/>
    </i>
    <i r="1" i="2">
      <x v="2"/>
    </i>
    <i r="1" i="3">
      <x v="3"/>
    </i>
    <i r="1" i="4">
      <x v="4"/>
    </i>
    <i r="1" i="5">
      <x v="5"/>
    </i>
    <i r="1" i="6">
      <x v="6"/>
    </i>
    <i>
      <x v="15"/>
      <x/>
    </i>
    <i r="1" i="1">
      <x v="1"/>
    </i>
    <i r="1" i="2">
      <x v="2"/>
    </i>
    <i r="1" i="3">
      <x v="3"/>
    </i>
    <i r="1" i="4">
      <x v="4"/>
    </i>
    <i r="1" i="5">
      <x v="5"/>
    </i>
    <i r="1" i="6">
      <x v="6"/>
    </i>
    <i>
      <x v="16"/>
      <x/>
    </i>
    <i r="1" i="1">
      <x v="1"/>
    </i>
    <i r="1" i="2">
      <x v="2"/>
    </i>
    <i r="1" i="3">
      <x v="3"/>
    </i>
    <i r="1" i="4">
      <x v="4"/>
    </i>
    <i r="1" i="5">
      <x v="5"/>
    </i>
    <i r="1" i="6">
      <x v="6"/>
    </i>
    <i t="grand">
      <x/>
    </i>
    <i t="grand" i="1">
      <x/>
    </i>
    <i t="grand" i="2">
      <x/>
    </i>
    <i t="grand" i="3">
      <x/>
    </i>
    <i t="grand" i="4">
      <x/>
    </i>
    <i t="grand" i="5">
      <x/>
    </i>
    <i t="grand" i="6">
      <x/>
    </i>
  </rowItems>
  <colFields count="2">
    <field x="42"/>
    <field x="3"/>
  </colFields>
  <colItems count="24">
    <i>
      <x/>
      <x/>
    </i>
    <i r="1">
      <x v="1"/>
    </i>
    <i r="1">
      <x v="2"/>
    </i>
    <i r="1">
      <x v="3"/>
    </i>
    <i r="1">
      <x v="4"/>
    </i>
    <i r="1">
      <x v="5"/>
    </i>
    <i t="default">
      <x/>
    </i>
    <i>
      <x v="1"/>
      <x v="6"/>
    </i>
    <i r="1">
      <x v="7"/>
    </i>
    <i r="1">
      <x v="8"/>
    </i>
    <i r="1">
      <x v="9"/>
    </i>
    <i t="default">
      <x v="1"/>
    </i>
    <i>
      <x v="5"/>
      <x v="13"/>
    </i>
    <i r="1">
      <x v="14"/>
    </i>
    <i r="1">
      <x v="15"/>
    </i>
    <i t="default">
      <x v="5"/>
    </i>
    <i>
      <x v="6"/>
      <x v="16"/>
    </i>
    <i t="default">
      <x v="6"/>
    </i>
    <i>
      <x v="7"/>
      <x v="17"/>
    </i>
    <i t="default">
      <x v="7"/>
    </i>
    <i>
      <x v="8"/>
      <x v="18"/>
    </i>
    <i t="default">
      <x v="8"/>
    </i>
    <i>
      <x v="9"/>
      <x v="19"/>
    </i>
    <i t="default">
      <x v="9"/>
    </i>
  </colItems>
  <dataFields count="7">
    <dataField name="Sum of Old-Total UGH" fld="43" baseField="0" baseItem="0" numFmtId="3"/>
    <dataField name="Sum of Old-Total HSH" fld="44" baseField="0" baseItem="0" numFmtId="3"/>
    <dataField name="Sum of Old-HS % of Total" fld="41" baseField="0" baseItem="0" numFmtId="3"/>
    <dataField name="Sum of New-Total UGH" fld="39" baseField="0" baseItem="0" numFmtId="3"/>
    <dataField name="Sum of New-Total HSH" fld="38" baseField="0" baseItem="0" numFmtId="3"/>
    <dataField name="Sum of New-HS % of Total" fld="40" baseField="0" baseItem="0" numFmtId="3"/>
    <dataField name=" HS % Change" fld="45" baseField="0" baseItem="0" numFmtId="3"/>
  </dataFields>
  <formats count="176">
    <format dxfId="319">
      <pivotArea outline="0" fieldPosition="0">
        <references count="2">
          <reference field="4294967294" count="1" selected="0">
            <x v="2"/>
          </reference>
          <reference field="0" count="1" selected="0">
            <x v="0"/>
          </reference>
        </references>
      </pivotArea>
    </format>
    <format dxfId="318">
      <pivotArea dataOnly="0" labelOnly="1" outline="0" fieldPosition="0">
        <references count="2">
          <reference field="4294967294" count="1">
            <x v="2"/>
          </reference>
          <reference field="0" count="1" selected="0">
            <x v="0"/>
          </reference>
        </references>
      </pivotArea>
    </format>
    <format dxfId="317">
      <pivotArea outline="0" fieldPosition="0">
        <references count="2">
          <reference field="4294967294" count="1" selected="0">
            <x v="5"/>
          </reference>
          <reference field="0" count="1" selected="0">
            <x v="0"/>
          </reference>
        </references>
      </pivotArea>
    </format>
    <format dxfId="316">
      <pivotArea dataOnly="0" labelOnly="1" outline="0" fieldPosition="0">
        <references count="2">
          <reference field="4294967294" count="1">
            <x v="5"/>
          </reference>
          <reference field="0" count="1" selected="0">
            <x v="0"/>
          </reference>
        </references>
      </pivotArea>
    </format>
    <format dxfId="315">
      <pivotArea outline="0" fieldPosition="0">
        <references count="2">
          <reference field="4294967294" count="1" selected="0">
            <x v="5"/>
          </reference>
          <reference field="0" count="1" selected="0">
            <x v="0"/>
          </reference>
        </references>
      </pivotArea>
    </format>
    <format dxfId="314">
      <pivotArea dataOnly="0" labelOnly="1" outline="0" fieldPosition="0">
        <references count="1">
          <reference field="0" count="1">
            <x v="0"/>
          </reference>
        </references>
      </pivotArea>
    </format>
    <format dxfId="313">
      <pivotArea dataOnly="0" labelOnly="1" outline="0" fieldPosition="0">
        <references count="1">
          <reference field="0" count="1">
            <x v="1"/>
          </reference>
        </references>
      </pivotArea>
    </format>
    <format dxfId="312">
      <pivotArea dataOnly="0" labelOnly="1" outline="0" fieldPosition="0">
        <references count="1">
          <reference field="0" count="1">
            <x v="2"/>
          </reference>
        </references>
      </pivotArea>
    </format>
    <format dxfId="311">
      <pivotArea dataOnly="0" labelOnly="1" outline="0" fieldPosition="0">
        <references count="1">
          <reference field="0" count="1">
            <x v="3"/>
          </reference>
        </references>
      </pivotArea>
    </format>
    <format dxfId="310">
      <pivotArea dataOnly="0" labelOnly="1" outline="0" fieldPosition="0">
        <references count="1">
          <reference field="0" count="1">
            <x v="4"/>
          </reference>
        </references>
      </pivotArea>
    </format>
    <format dxfId="309">
      <pivotArea dataOnly="0" labelOnly="1" outline="0" fieldPosition="0">
        <references count="1">
          <reference field="0" count="1">
            <x v="5"/>
          </reference>
        </references>
      </pivotArea>
    </format>
    <format dxfId="308">
      <pivotArea dataOnly="0" labelOnly="1" outline="0" fieldPosition="0">
        <references count="1">
          <reference field="0" count="1">
            <x v="7"/>
          </reference>
        </references>
      </pivotArea>
    </format>
    <format dxfId="307">
      <pivotArea dataOnly="0" labelOnly="1" outline="0" fieldPosition="0">
        <references count="1">
          <reference field="0" count="1">
            <x v="8"/>
          </reference>
        </references>
      </pivotArea>
    </format>
    <format dxfId="306">
      <pivotArea dataOnly="0" labelOnly="1" outline="0" fieldPosition="0">
        <references count="1">
          <reference field="0" count="1">
            <x v="9"/>
          </reference>
        </references>
      </pivotArea>
    </format>
    <format dxfId="305">
      <pivotArea dataOnly="0" labelOnly="1" outline="0" fieldPosition="0">
        <references count="1">
          <reference field="0" count="1">
            <x v="10"/>
          </reference>
        </references>
      </pivotArea>
    </format>
    <format dxfId="304">
      <pivotArea dataOnly="0" labelOnly="1" outline="0" fieldPosition="0">
        <references count="1">
          <reference field="0" count="1">
            <x v="11"/>
          </reference>
        </references>
      </pivotArea>
    </format>
    <format dxfId="303">
      <pivotArea dataOnly="0" labelOnly="1" outline="0" fieldPosition="0">
        <references count="1">
          <reference field="0" count="1">
            <x v="12"/>
          </reference>
        </references>
      </pivotArea>
    </format>
    <format dxfId="302">
      <pivotArea dataOnly="0" labelOnly="1" outline="0" fieldPosition="0">
        <references count="1">
          <reference field="0" count="1">
            <x v="13"/>
          </reference>
        </references>
      </pivotArea>
    </format>
    <format dxfId="301">
      <pivotArea dataOnly="0" labelOnly="1" outline="0" fieldPosition="0">
        <references count="1">
          <reference field="0" count="1">
            <x v="14"/>
          </reference>
        </references>
      </pivotArea>
    </format>
    <format dxfId="300">
      <pivotArea dataOnly="0" labelOnly="1" outline="0" fieldPosition="0">
        <references count="1">
          <reference field="0" count="1">
            <x v="15"/>
          </reference>
        </references>
      </pivotArea>
    </format>
    <format dxfId="299">
      <pivotArea dataOnly="0" labelOnly="1" outline="0" fieldPosition="0">
        <references count="1">
          <reference field="0" count="1">
            <x v="6"/>
          </reference>
        </references>
      </pivotArea>
    </format>
    <format dxfId="298">
      <pivotArea outline="0" fieldPosition="0">
        <references count="2">
          <reference field="4294967294" count="1" selected="0">
            <x v="5"/>
          </reference>
          <reference field="0" count="1" selected="0">
            <x v="0"/>
          </reference>
        </references>
      </pivotArea>
    </format>
    <format dxfId="297">
      <pivotArea outline="0" fieldPosition="0">
        <references count="2">
          <reference field="4294967294" count="1" selected="0">
            <x v="2"/>
          </reference>
          <reference field="0" count="1" selected="0">
            <x v="1"/>
          </reference>
        </references>
      </pivotArea>
    </format>
    <format dxfId="296">
      <pivotArea outline="0" fieldPosition="0">
        <references count="2">
          <reference field="4294967294" count="1" selected="0">
            <x v="2"/>
          </reference>
          <reference field="0" count="1" selected="0">
            <x v="1"/>
          </reference>
        </references>
      </pivotArea>
    </format>
    <format dxfId="295">
      <pivotArea outline="0" fieldPosition="0">
        <references count="2">
          <reference field="4294967294" count="1" selected="0">
            <x v="5"/>
          </reference>
          <reference field="0" count="1" selected="0">
            <x v="0"/>
          </reference>
        </references>
      </pivotArea>
    </format>
    <format dxfId="294">
      <pivotArea dataOnly="0" labelOnly="1" outline="0" offset="IV256" fieldPosition="0">
        <references count="1">
          <reference field="0" count="1">
            <x v="0"/>
          </reference>
        </references>
      </pivotArea>
    </format>
    <format dxfId="293">
      <pivotArea dataOnly="0" labelOnly="1" outline="0" fieldPosition="0">
        <references count="2">
          <reference field="4294967294" count="1">
            <x v="5"/>
          </reference>
          <reference field="0" count="1" selected="0">
            <x v="0"/>
          </reference>
        </references>
      </pivotArea>
    </format>
    <format dxfId="292">
      <pivotArea type="all" dataOnly="0" outline="0" fieldPosition="0"/>
    </format>
    <format dxfId="291">
      <pivotArea outline="0" fieldPosition="0">
        <references count="2">
          <reference field="4294967294" count="1" selected="0">
            <x v="5"/>
          </reference>
          <reference field="0" count="1" selected="0">
            <x v="0"/>
          </reference>
        </references>
      </pivotArea>
    </format>
    <format dxfId="290">
      <pivotArea dataOnly="0" labelOnly="1" outline="0" fieldPosition="0">
        <references count="2">
          <reference field="4294967294" count="1">
            <x v="0"/>
          </reference>
          <reference field="0" count="1" selected="0">
            <x v="1"/>
          </reference>
        </references>
      </pivotArea>
    </format>
    <format dxfId="289">
      <pivotArea dataOnly="0" labelOnly="1" outline="0" fieldPosition="0">
        <references count="2">
          <reference field="4294967294" count="1">
            <x v="0"/>
          </reference>
          <reference field="0" count="1" selected="0">
            <x v="2"/>
          </reference>
        </references>
      </pivotArea>
    </format>
    <format dxfId="288">
      <pivotArea dataOnly="0" labelOnly="1" outline="0" fieldPosition="0">
        <references count="2">
          <reference field="4294967294" count="1">
            <x v="0"/>
          </reference>
          <reference field="0" count="1" selected="0">
            <x v="3"/>
          </reference>
        </references>
      </pivotArea>
    </format>
    <format dxfId="287">
      <pivotArea dataOnly="0" labelOnly="1" outline="0" fieldPosition="0">
        <references count="2">
          <reference field="4294967294" count="1">
            <x v="0"/>
          </reference>
          <reference field="0" count="1" selected="0">
            <x v="4"/>
          </reference>
        </references>
      </pivotArea>
    </format>
    <format dxfId="286">
      <pivotArea dataOnly="0" labelOnly="1" outline="0" fieldPosition="0">
        <references count="2">
          <reference field="4294967294" count="1">
            <x v="0"/>
          </reference>
          <reference field="0" count="1" selected="0">
            <x v="5"/>
          </reference>
        </references>
      </pivotArea>
    </format>
    <format dxfId="285">
      <pivotArea dataOnly="0" labelOnly="1" outline="0" fieldPosition="0">
        <references count="2">
          <reference field="4294967294" count="1">
            <x v="0"/>
          </reference>
          <reference field="0" count="1" selected="0">
            <x v="6"/>
          </reference>
        </references>
      </pivotArea>
    </format>
    <format dxfId="284">
      <pivotArea dataOnly="0" labelOnly="1" outline="0" fieldPosition="0">
        <references count="2">
          <reference field="4294967294" count="1">
            <x v="0"/>
          </reference>
          <reference field="0" count="1" selected="0">
            <x v="7"/>
          </reference>
        </references>
      </pivotArea>
    </format>
    <format dxfId="283">
      <pivotArea dataOnly="0" labelOnly="1" outline="0" fieldPosition="0">
        <references count="2">
          <reference field="4294967294" count="1">
            <x v="0"/>
          </reference>
          <reference field="0" count="1" selected="0">
            <x v="8"/>
          </reference>
        </references>
      </pivotArea>
    </format>
    <format dxfId="282">
      <pivotArea dataOnly="0" labelOnly="1" outline="0" fieldPosition="0">
        <references count="2">
          <reference field="4294967294" count="1">
            <x v="0"/>
          </reference>
          <reference field="0" count="1" selected="0">
            <x v="9"/>
          </reference>
        </references>
      </pivotArea>
    </format>
    <format dxfId="281">
      <pivotArea dataOnly="0" labelOnly="1" outline="0" fieldPosition="0">
        <references count="2">
          <reference field="4294967294" count="1">
            <x v="0"/>
          </reference>
          <reference field="0" count="1" selected="0">
            <x v="10"/>
          </reference>
        </references>
      </pivotArea>
    </format>
    <format dxfId="280">
      <pivotArea dataOnly="0" labelOnly="1" outline="0" fieldPosition="0">
        <references count="2">
          <reference field="4294967294" count="1">
            <x v="0"/>
          </reference>
          <reference field="0" count="1" selected="0">
            <x v="11"/>
          </reference>
        </references>
      </pivotArea>
    </format>
    <format dxfId="279">
      <pivotArea dataOnly="0" labelOnly="1" outline="0" fieldPosition="0">
        <references count="2">
          <reference field="4294967294" count="1">
            <x v="0"/>
          </reference>
          <reference field="0" count="1" selected="0">
            <x v="12"/>
          </reference>
        </references>
      </pivotArea>
    </format>
    <format dxfId="278">
      <pivotArea dataOnly="0" labelOnly="1" outline="0" fieldPosition="0">
        <references count="2">
          <reference field="4294967294" count="1">
            <x v="0"/>
          </reference>
          <reference field="0" count="1" selected="0">
            <x v="13"/>
          </reference>
        </references>
      </pivotArea>
    </format>
    <format dxfId="277">
      <pivotArea dataOnly="0" labelOnly="1" outline="0" fieldPosition="0">
        <references count="2">
          <reference field="4294967294" count="1">
            <x v="0"/>
          </reference>
          <reference field="0" count="1" selected="0">
            <x v="14"/>
          </reference>
        </references>
      </pivotArea>
    </format>
    <format dxfId="276">
      <pivotArea dataOnly="0" labelOnly="1" outline="0" fieldPosition="0">
        <references count="2">
          <reference field="4294967294" count="1">
            <x v="0"/>
          </reference>
          <reference field="0" count="1" selected="0">
            <x v="15"/>
          </reference>
        </references>
      </pivotArea>
    </format>
    <format dxfId="275">
      <pivotArea outline="0" fieldPosition="0">
        <references count="2">
          <reference field="4294967294" count="1" selected="0">
            <x v="0"/>
          </reference>
          <reference field="0" count="1" selected="0">
            <x v="6"/>
          </reference>
        </references>
      </pivotArea>
    </format>
    <format dxfId="274">
      <pivotArea dataOnly="0" labelOnly="1" outline="0" offset="IV1" fieldPosition="0">
        <references count="1">
          <reference field="0" count="1">
            <x v="6"/>
          </reference>
        </references>
      </pivotArea>
    </format>
    <format dxfId="273">
      <pivotArea dataOnly="0" labelOnly="1" outline="0" fieldPosition="0">
        <references count="2">
          <reference field="4294967294" count="1">
            <x v="0"/>
          </reference>
          <reference field="0" count="1" selected="0">
            <x v="6"/>
          </reference>
        </references>
      </pivotArea>
    </format>
    <format dxfId="272">
      <pivotArea outline="0" fieldPosition="0">
        <references count="2">
          <reference field="4294967294" count="1" selected="0">
            <x v="1"/>
          </reference>
          <reference field="0" count="1" selected="0">
            <x v="6"/>
          </reference>
        </references>
      </pivotArea>
    </format>
    <format dxfId="271">
      <pivotArea dataOnly="0" labelOnly="1" outline="0" offset="IV2" fieldPosition="0">
        <references count="1">
          <reference field="0" count="1">
            <x v="6"/>
          </reference>
        </references>
      </pivotArea>
    </format>
    <format dxfId="270">
      <pivotArea dataOnly="0" labelOnly="1" outline="0" fieldPosition="0">
        <references count="2">
          <reference field="4294967294" count="1">
            <x v="1"/>
          </reference>
          <reference field="0" count="1" selected="0">
            <x v="6"/>
          </reference>
        </references>
      </pivotArea>
    </format>
    <format dxfId="269">
      <pivotArea outline="0" fieldPosition="0">
        <references count="2">
          <reference field="4294967294" count="1" selected="0">
            <x v="2"/>
          </reference>
          <reference field="0" count="1" selected="0">
            <x v="0"/>
          </reference>
        </references>
      </pivotArea>
    </format>
    <format dxfId="268">
      <pivotArea dataOnly="0" labelOnly="1" outline="0" fieldPosition="0">
        <references count="2">
          <reference field="4294967294" count="1">
            <x v="2"/>
          </reference>
          <reference field="0" count="1" selected="0">
            <x v="0"/>
          </reference>
        </references>
      </pivotArea>
    </format>
    <format dxfId="267">
      <pivotArea dataOnly="0" labelOnly="1" outline="0" fieldPosition="0">
        <references count="2">
          <reference field="4294967294" count="1">
            <x v="2"/>
          </reference>
          <reference field="0" count="1" selected="0">
            <x v="0"/>
          </reference>
        </references>
      </pivotArea>
    </format>
    <format dxfId="266">
      <pivotArea dataOnly="0" labelOnly="1" outline="0" fieldPosition="0">
        <references count="2">
          <reference field="4294967294" count="1">
            <x v="5"/>
          </reference>
          <reference field="0" count="1" selected="0">
            <x v="0"/>
          </reference>
        </references>
      </pivotArea>
    </format>
    <format dxfId="265">
      <pivotArea dataOnly="0" labelOnly="1" outline="0" fieldPosition="0">
        <references count="2">
          <reference field="4294967294" count="1">
            <x v="2"/>
          </reference>
          <reference field="0" count="1" selected="0">
            <x v="1"/>
          </reference>
        </references>
      </pivotArea>
    </format>
    <format dxfId="264">
      <pivotArea dataOnly="0" labelOnly="1" outline="0" fieldPosition="0">
        <references count="2">
          <reference field="4294967294" count="1">
            <x v="5"/>
          </reference>
          <reference field="0" count="1" selected="0">
            <x v="1"/>
          </reference>
        </references>
      </pivotArea>
    </format>
    <format dxfId="263">
      <pivotArea dataOnly="0" labelOnly="1" outline="0" fieldPosition="0">
        <references count="2">
          <reference field="4294967294" count="1">
            <x v="2"/>
          </reference>
          <reference field="0" count="1" selected="0">
            <x v="2"/>
          </reference>
        </references>
      </pivotArea>
    </format>
    <format dxfId="262">
      <pivotArea dataOnly="0" labelOnly="1" outline="0" fieldPosition="0">
        <references count="2">
          <reference field="4294967294" count="1">
            <x v="5"/>
          </reference>
          <reference field="0" count="1" selected="0">
            <x v="2"/>
          </reference>
        </references>
      </pivotArea>
    </format>
    <format dxfId="261">
      <pivotArea dataOnly="0" labelOnly="1" outline="0" fieldPosition="0">
        <references count="2">
          <reference field="4294967294" count="1">
            <x v="2"/>
          </reference>
          <reference field="0" count="1" selected="0">
            <x v="3"/>
          </reference>
        </references>
      </pivotArea>
    </format>
    <format dxfId="260">
      <pivotArea dataOnly="0" labelOnly="1" outline="0" fieldPosition="0">
        <references count="2">
          <reference field="4294967294" count="1">
            <x v="5"/>
          </reference>
          <reference field="0" count="1" selected="0">
            <x v="3"/>
          </reference>
        </references>
      </pivotArea>
    </format>
    <format dxfId="259">
      <pivotArea dataOnly="0" labelOnly="1" outline="0" fieldPosition="0">
        <references count="2">
          <reference field="4294967294" count="1">
            <x v="2"/>
          </reference>
          <reference field="0" count="1" selected="0">
            <x v="4"/>
          </reference>
        </references>
      </pivotArea>
    </format>
    <format dxfId="258">
      <pivotArea dataOnly="0" labelOnly="1" outline="0" fieldPosition="0">
        <references count="2">
          <reference field="4294967294" count="1">
            <x v="5"/>
          </reference>
          <reference field="0" count="1" selected="0">
            <x v="4"/>
          </reference>
        </references>
      </pivotArea>
    </format>
    <format dxfId="257">
      <pivotArea dataOnly="0" labelOnly="1" outline="0" fieldPosition="0">
        <references count="2">
          <reference field="4294967294" count="1">
            <x v="2"/>
          </reference>
          <reference field="0" count="1" selected="0">
            <x v="5"/>
          </reference>
        </references>
      </pivotArea>
    </format>
    <format dxfId="256">
      <pivotArea dataOnly="0" labelOnly="1" outline="0" fieldPosition="0">
        <references count="2">
          <reference field="4294967294" count="1">
            <x v="5"/>
          </reference>
          <reference field="0" count="1" selected="0">
            <x v="5"/>
          </reference>
        </references>
      </pivotArea>
    </format>
    <format dxfId="255">
      <pivotArea dataOnly="0" labelOnly="1" outline="0" fieldPosition="0">
        <references count="2">
          <reference field="4294967294" count="1">
            <x v="2"/>
          </reference>
          <reference field="0" count="1" selected="0">
            <x v="6"/>
          </reference>
        </references>
      </pivotArea>
    </format>
    <format dxfId="254">
      <pivotArea dataOnly="0" labelOnly="1" outline="0" fieldPosition="0">
        <references count="2">
          <reference field="4294967294" count="1">
            <x v="5"/>
          </reference>
          <reference field="0" count="1" selected="0">
            <x v="6"/>
          </reference>
        </references>
      </pivotArea>
    </format>
    <format dxfId="253">
      <pivotArea dataOnly="0" labelOnly="1" outline="0" fieldPosition="0">
        <references count="2">
          <reference field="4294967294" count="1">
            <x v="2"/>
          </reference>
          <reference field="0" count="1" selected="0">
            <x v="7"/>
          </reference>
        </references>
      </pivotArea>
    </format>
    <format dxfId="252">
      <pivotArea dataOnly="0" labelOnly="1" outline="0" fieldPosition="0">
        <references count="2">
          <reference field="4294967294" count="1">
            <x v="5"/>
          </reference>
          <reference field="0" count="1" selected="0">
            <x v="7"/>
          </reference>
        </references>
      </pivotArea>
    </format>
    <format dxfId="251">
      <pivotArea dataOnly="0" labelOnly="1" outline="0" fieldPosition="0">
        <references count="2">
          <reference field="4294967294" count="1">
            <x v="2"/>
          </reference>
          <reference field="0" count="1" selected="0">
            <x v="8"/>
          </reference>
        </references>
      </pivotArea>
    </format>
    <format dxfId="250">
      <pivotArea dataOnly="0" labelOnly="1" outline="0" fieldPosition="0">
        <references count="2">
          <reference field="4294967294" count="1">
            <x v="5"/>
          </reference>
          <reference field="0" count="1" selected="0">
            <x v="8"/>
          </reference>
        </references>
      </pivotArea>
    </format>
    <format dxfId="249">
      <pivotArea dataOnly="0" labelOnly="1" outline="0" fieldPosition="0">
        <references count="2">
          <reference field="4294967294" count="1">
            <x v="2"/>
          </reference>
          <reference field="0" count="1" selected="0">
            <x v="9"/>
          </reference>
        </references>
      </pivotArea>
    </format>
    <format dxfId="248">
      <pivotArea dataOnly="0" labelOnly="1" outline="0" fieldPosition="0">
        <references count="2">
          <reference field="4294967294" count="1">
            <x v="5"/>
          </reference>
          <reference field="0" count="1" selected="0">
            <x v="9"/>
          </reference>
        </references>
      </pivotArea>
    </format>
    <format dxfId="247">
      <pivotArea dataOnly="0" labelOnly="1" outline="0" fieldPosition="0">
        <references count="2">
          <reference field="4294967294" count="1">
            <x v="2"/>
          </reference>
          <reference field="0" count="1" selected="0">
            <x v="10"/>
          </reference>
        </references>
      </pivotArea>
    </format>
    <format dxfId="246">
      <pivotArea dataOnly="0" labelOnly="1" outline="0" fieldPosition="0">
        <references count="2">
          <reference field="4294967294" count="1">
            <x v="5"/>
          </reference>
          <reference field="0" count="1" selected="0">
            <x v="10"/>
          </reference>
        </references>
      </pivotArea>
    </format>
    <format dxfId="245">
      <pivotArea dataOnly="0" labelOnly="1" outline="0" fieldPosition="0">
        <references count="2">
          <reference field="4294967294" count="1">
            <x v="2"/>
          </reference>
          <reference field="0" count="1" selected="0">
            <x v="11"/>
          </reference>
        </references>
      </pivotArea>
    </format>
    <format dxfId="244">
      <pivotArea dataOnly="0" labelOnly="1" outline="0" fieldPosition="0">
        <references count="2">
          <reference field="4294967294" count="1">
            <x v="5"/>
          </reference>
          <reference field="0" count="1" selected="0">
            <x v="11"/>
          </reference>
        </references>
      </pivotArea>
    </format>
    <format dxfId="243">
      <pivotArea dataOnly="0" labelOnly="1" outline="0" fieldPosition="0">
        <references count="2">
          <reference field="4294967294" count="1">
            <x v="2"/>
          </reference>
          <reference field="0" count="1" selected="0">
            <x v="12"/>
          </reference>
        </references>
      </pivotArea>
    </format>
    <format dxfId="242">
      <pivotArea dataOnly="0" labelOnly="1" outline="0" fieldPosition="0">
        <references count="2">
          <reference field="4294967294" count="1">
            <x v="5"/>
          </reference>
          <reference field="0" count="1" selected="0">
            <x v="12"/>
          </reference>
        </references>
      </pivotArea>
    </format>
    <format dxfId="241">
      <pivotArea dataOnly="0" labelOnly="1" outline="0" fieldPosition="0">
        <references count="2">
          <reference field="4294967294" count="1">
            <x v="2"/>
          </reference>
          <reference field="0" count="1" selected="0">
            <x v="13"/>
          </reference>
        </references>
      </pivotArea>
    </format>
    <format dxfId="240">
      <pivotArea dataOnly="0" labelOnly="1" outline="0" fieldPosition="0">
        <references count="2">
          <reference field="4294967294" count="1">
            <x v="5"/>
          </reference>
          <reference field="0" count="1" selected="0">
            <x v="13"/>
          </reference>
        </references>
      </pivotArea>
    </format>
    <format dxfId="239">
      <pivotArea dataOnly="0" labelOnly="1" outline="0" fieldPosition="0">
        <references count="2">
          <reference field="4294967294" count="1">
            <x v="2"/>
          </reference>
          <reference field="0" count="1" selected="0">
            <x v="14"/>
          </reference>
        </references>
      </pivotArea>
    </format>
    <format dxfId="238">
      <pivotArea dataOnly="0" labelOnly="1" outline="0" fieldPosition="0">
        <references count="2">
          <reference field="4294967294" count="1">
            <x v="5"/>
          </reference>
          <reference field="0" count="1" selected="0">
            <x v="14"/>
          </reference>
        </references>
      </pivotArea>
    </format>
    <format dxfId="237">
      <pivotArea dataOnly="0" labelOnly="1" outline="0" fieldPosition="0">
        <references count="2">
          <reference field="4294967294" count="1">
            <x v="2"/>
          </reference>
          <reference field="0" count="1" selected="0">
            <x v="15"/>
          </reference>
        </references>
      </pivotArea>
    </format>
    <format dxfId="236">
      <pivotArea dataOnly="0" labelOnly="1" outline="0" fieldPosition="0">
        <references count="2">
          <reference field="4294967294" count="1">
            <x v="5"/>
          </reference>
          <reference field="0" count="1" selected="0">
            <x v="15"/>
          </reference>
        </references>
      </pivotArea>
    </format>
    <format dxfId="235">
      <pivotArea field="0" grandRow="1" outline="0" collapsedLevelsAreSubtotals="1" axis="axisRow" fieldPosition="0">
        <references count="1">
          <reference field="4294967294" count="1" selected="0">
            <x v="2"/>
          </reference>
        </references>
      </pivotArea>
    </format>
    <format dxfId="234">
      <pivotArea field="0" grandRow="1" outline="0" collapsedLevelsAreSubtotals="1" axis="axisRow" fieldPosition="0">
        <references count="1">
          <reference field="4294967294" count="1" selected="0">
            <x v="2"/>
          </reference>
        </references>
      </pivotArea>
    </format>
    <format dxfId="233">
      <pivotArea field="42" grandRow="1" outline="0" collapsedLevelsAreSubtotals="1" axis="axisCol" fieldPosition="0">
        <references count="3">
          <reference field="4294967294" count="1" selected="0">
            <x v="5"/>
          </reference>
          <reference field="3" count="1" selected="0">
            <x v="3"/>
          </reference>
          <reference field="42" count="1" selected="0">
            <x v="0"/>
          </reference>
        </references>
      </pivotArea>
    </format>
    <format dxfId="232">
      <pivotArea outline="0" collapsedLevelsAreSubtotals="1" fieldPosition="0">
        <references count="4">
          <reference field="4294967294" count="1" selected="0">
            <x v="2"/>
          </reference>
          <reference field="0" count="1" selected="0">
            <x v="15"/>
          </reference>
          <reference field="3" count="1" selected="0">
            <x v="3"/>
          </reference>
          <reference field="42" count="1" selected="0">
            <x v="0"/>
          </reference>
        </references>
      </pivotArea>
    </format>
    <format dxfId="231">
      <pivotArea outline="0" collapsedLevelsAreSubtotals="1" fieldPosition="0">
        <references count="4">
          <reference field="4294967294" count="1" selected="0">
            <x v="5"/>
          </reference>
          <reference field="0" count="1" selected="0">
            <x v="15"/>
          </reference>
          <reference field="3" count="1" selected="0">
            <x v="3"/>
          </reference>
          <reference field="42" count="1" selected="0">
            <x v="0"/>
          </reference>
        </references>
      </pivotArea>
    </format>
    <format dxfId="230">
      <pivotArea outline="0" collapsedLevelsAreSubtotals="1" fieldPosition="0">
        <references count="4">
          <reference field="4294967294" count="1" selected="0">
            <x v="2"/>
          </reference>
          <reference field="0" count="1" selected="0">
            <x v="14"/>
          </reference>
          <reference field="3" count="1" selected="0">
            <x v="3"/>
          </reference>
          <reference field="42" count="1" selected="0">
            <x v="0"/>
          </reference>
        </references>
      </pivotArea>
    </format>
    <format dxfId="229">
      <pivotArea outline="0" collapsedLevelsAreSubtotals="1" fieldPosition="0">
        <references count="4">
          <reference field="4294967294" count="1" selected="0">
            <x v="5"/>
          </reference>
          <reference field="0" count="1" selected="0">
            <x v="14"/>
          </reference>
          <reference field="3" count="1" selected="0">
            <x v="3"/>
          </reference>
          <reference field="42" count="1" selected="0">
            <x v="0"/>
          </reference>
        </references>
      </pivotArea>
    </format>
    <format dxfId="228">
      <pivotArea outline="0" collapsedLevelsAreSubtotals="1" fieldPosition="0">
        <references count="4">
          <reference field="4294967294" count="1" selected="0">
            <x v="2"/>
          </reference>
          <reference field="0" count="1" selected="0">
            <x v="13"/>
          </reference>
          <reference field="3" count="1" selected="0">
            <x v="3"/>
          </reference>
          <reference field="42" count="1" selected="0">
            <x v="0"/>
          </reference>
        </references>
      </pivotArea>
    </format>
    <format dxfId="227">
      <pivotArea outline="0" collapsedLevelsAreSubtotals="1" fieldPosition="0">
        <references count="4">
          <reference field="4294967294" count="1" selected="0">
            <x v="5"/>
          </reference>
          <reference field="0" count="1" selected="0">
            <x v="13"/>
          </reference>
          <reference field="3" count="1" selected="0">
            <x v="3"/>
          </reference>
          <reference field="42" count="1" selected="0">
            <x v="0"/>
          </reference>
        </references>
      </pivotArea>
    </format>
    <format dxfId="226">
      <pivotArea outline="0" collapsedLevelsAreSubtotals="1" fieldPosition="0">
        <references count="4">
          <reference field="4294967294" count="1" selected="0">
            <x v="2"/>
          </reference>
          <reference field="0" count="1" selected="0">
            <x v="12"/>
          </reference>
          <reference field="3" count="1" selected="0">
            <x v="3"/>
          </reference>
          <reference field="42" count="1" selected="0">
            <x v="0"/>
          </reference>
        </references>
      </pivotArea>
    </format>
    <format dxfId="225">
      <pivotArea outline="0" collapsedLevelsAreSubtotals="1" fieldPosition="0">
        <references count="4">
          <reference field="4294967294" count="1" selected="0">
            <x v="5"/>
          </reference>
          <reference field="0" count="1" selected="0">
            <x v="12"/>
          </reference>
          <reference field="3" count="1" selected="0">
            <x v="3"/>
          </reference>
          <reference field="42" count="1" selected="0">
            <x v="0"/>
          </reference>
        </references>
      </pivotArea>
    </format>
    <format dxfId="224">
      <pivotArea outline="0" collapsedLevelsAreSubtotals="1" fieldPosition="0">
        <references count="4">
          <reference field="4294967294" count="1" selected="0">
            <x v="2"/>
          </reference>
          <reference field="0" count="1" selected="0">
            <x v="11"/>
          </reference>
          <reference field="3" count="1" selected="0">
            <x v="3"/>
          </reference>
          <reference field="42" count="1" selected="0">
            <x v="0"/>
          </reference>
        </references>
      </pivotArea>
    </format>
    <format dxfId="223">
      <pivotArea outline="0" collapsedLevelsAreSubtotals="1" fieldPosition="0">
        <references count="4">
          <reference field="4294967294" count="1" selected="0">
            <x v="5"/>
          </reference>
          <reference field="0" count="1" selected="0">
            <x v="11"/>
          </reference>
          <reference field="3" count="1" selected="0">
            <x v="3"/>
          </reference>
          <reference field="42" count="1" selected="0">
            <x v="0"/>
          </reference>
        </references>
      </pivotArea>
    </format>
    <format dxfId="222">
      <pivotArea outline="0" collapsedLevelsAreSubtotals="1" fieldPosition="0">
        <references count="4">
          <reference field="4294967294" count="1" selected="0">
            <x v="2"/>
          </reference>
          <reference field="0" count="1" selected="0">
            <x v="10"/>
          </reference>
          <reference field="3" count="1" selected="0">
            <x v="3"/>
          </reference>
          <reference field="42" count="1" selected="0">
            <x v="0"/>
          </reference>
        </references>
      </pivotArea>
    </format>
    <format dxfId="221">
      <pivotArea outline="0" collapsedLevelsAreSubtotals="1" fieldPosition="0">
        <references count="4">
          <reference field="4294967294" count="1" selected="0">
            <x v="5"/>
          </reference>
          <reference field="0" count="1" selected="0">
            <x v="10"/>
          </reference>
          <reference field="3" count="1" selected="0">
            <x v="3"/>
          </reference>
          <reference field="42" count="1" selected="0">
            <x v="0"/>
          </reference>
        </references>
      </pivotArea>
    </format>
    <format dxfId="220">
      <pivotArea outline="0" collapsedLevelsAreSubtotals="1" fieldPosition="0">
        <references count="4">
          <reference field="4294967294" count="1" selected="0">
            <x v="2"/>
          </reference>
          <reference field="0" count="1" selected="0">
            <x v="9"/>
          </reference>
          <reference field="3" count="1" selected="0">
            <x v="3"/>
          </reference>
          <reference field="42" count="1" selected="0">
            <x v="0"/>
          </reference>
        </references>
      </pivotArea>
    </format>
    <format dxfId="219">
      <pivotArea outline="0" collapsedLevelsAreSubtotals="1" fieldPosition="0">
        <references count="4">
          <reference field="4294967294" count="1" selected="0">
            <x v="5"/>
          </reference>
          <reference field="0" count="1" selected="0">
            <x v="9"/>
          </reference>
          <reference field="3" count="1" selected="0">
            <x v="3"/>
          </reference>
          <reference field="42" count="1" selected="0">
            <x v="0"/>
          </reference>
        </references>
      </pivotArea>
    </format>
    <format dxfId="218">
      <pivotArea outline="0" collapsedLevelsAreSubtotals="1" fieldPosition="0">
        <references count="4">
          <reference field="4294967294" count="1" selected="0">
            <x v="2"/>
          </reference>
          <reference field="0" count="1" selected="0">
            <x v="8"/>
          </reference>
          <reference field="3" count="1" selected="0">
            <x v="3"/>
          </reference>
          <reference field="42" count="1" selected="0">
            <x v="0"/>
          </reference>
        </references>
      </pivotArea>
    </format>
    <format dxfId="217">
      <pivotArea outline="0" collapsedLevelsAreSubtotals="1" fieldPosition="0">
        <references count="4">
          <reference field="4294967294" count="1" selected="0">
            <x v="5"/>
          </reference>
          <reference field="0" count="1" selected="0">
            <x v="8"/>
          </reference>
          <reference field="3" count="1" selected="0">
            <x v="3"/>
          </reference>
          <reference field="42" count="1" selected="0">
            <x v="0"/>
          </reference>
        </references>
      </pivotArea>
    </format>
    <format dxfId="216">
      <pivotArea outline="0" collapsedLevelsAreSubtotals="1" fieldPosition="0">
        <references count="4">
          <reference field="4294967294" count="1" selected="0">
            <x v="2"/>
          </reference>
          <reference field="0" count="1" selected="0">
            <x v="1"/>
          </reference>
          <reference field="3" count="1" selected="0">
            <x v="3"/>
          </reference>
          <reference field="42" count="1" selected="0">
            <x v="0"/>
          </reference>
        </references>
      </pivotArea>
    </format>
    <format dxfId="215">
      <pivotArea outline="0" collapsedLevelsAreSubtotals="1" fieldPosition="0">
        <references count="4">
          <reference field="4294967294" count="1" selected="0">
            <x v="2"/>
          </reference>
          <reference field="0" count="1" selected="0">
            <x v="2"/>
          </reference>
          <reference field="3" count="1" selected="0">
            <x v="3"/>
          </reference>
          <reference field="42" count="1" selected="0">
            <x v="0"/>
          </reference>
        </references>
      </pivotArea>
    </format>
    <format dxfId="214">
      <pivotArea outline="0" collapsedLevelsAreSubtotals="1" fieldPosition="0">
        <references count="4">
          <reference field="4294967294" count="1" selected="0">
            <x v="2"/>
          </reference>
          <reference field="0" count="1" selected="0">
            <x v="3"/>
          </reference>
          <reference field="3" count="1" selected="0">
            <x v="3"/>
          </reference>
          <reference field="42" count="1" selected="0">
            <x v="0"/>
          </reference>
        </references>
      </pivotArea>
    </format>
    <format dxfId="213">
      <pivotArea outline="0" collapsedLevelsAreSubtotals="1" fieldPosition="0">
        <references count="4">
          <reference field="4294967294" count="1" selected="0">
            <x v="2"/>
          </reference>
          <reference field="0" count="1" selected="0">
            <x v="4"/>
          </reference>
          <reference field="3" count="1" selected="0">
            <x v="3"/>
          </reference>
          <reference field="42" count="1" selected="0">
            <x v="0"/>
          </reference>
        </references>
      </pivotArea>
    </format>
    <format dxfId="212">
      <pivotArea outline="0" collapsedLevelsAreSubtotals="1" fieldPosition="0">
        <references count="4">
          <reference field="4294967294" count="1" selected="0">
            <x v="2"/>
          </reference>
          <reference field="0" count="1" selected="0">
            <x v="5"/>
          </reference>
          <reference field="3" count="1" selected="0">
            <x v="3"/>
          </reference>
          <reference field="42" count="1" selected="0">
            <x v="0"/>
          </reference>
        </references>
      </pivotArea>
    </format>
    <format dxfId="211">
      <pivotArea outline="0" collapsedLevelsAreSubtotals="1" fieldPosition="0">
        <references count="4">
          <reference field="4294967294" count="1" selected="0">
            <x v="2"/>
          </reference>
          <reference field="0" count="1" selected="0">
            <x v="6"/>
          </reference>
          <reference field="3" count="1" selected="0">
            <x v="3"/>
          </reference>
          <reference field="42" count="1" selected="0">
            <x v="0"/>
          </reference>
        </references>
      </pivotArea>
    </format>
    <format dxfId="210">
      <pivotArea outline="0" collapsedLevelsAreSubtotals="1" fieldPosition="0">
        <references count="4">
          <reference field="4294967294" count="1" selected="0">
            <x v="2"/>
          </reference>
          <reference field="0" count="1" selected="0">
            <x v="7"/>
          </reference>
          <reference field="3" count="1" selected="0">
            <x v="3"/>
          </reference>
          <reference field="42" count="1" selected="0">
            <x v="0"/>
          </reference>
        </references>
      </pivotArea>
    </format>
    <format dxfId="209">
      <pivotArea outline="0" collapsedLevelsAreSubtotals="1" fieldPosition="0">
        <references count="2">
          <reference field="4294967294" count="1" selected="0">
            <x v="6"/>
          </reference>
          <reference field="0" count="1" selected="0">
            <x v="0"/>
          </reference>
        </references>
      </pivotArea>
    </format>
    <format dxfId="208">
      <pivotArea outline="0" collapsedLevelsAreSubtotals="1" fieldPosition="0">
        <references count="2">
          <reference field="4294967294" count="1" selected="0">
            <x v="6"/>
          </reference>
          <reference field="0" count="1" selected="0">
            <x v="0"/>
          </reference>
        </references>
      </pivotArea>
    </format>
    <format dxfId="207">
      <pivotArea dataOnly="0" labelOnly="1" outline="0" fieldPosition="0">
        <references count="2">
          <reference field="4294967294" count="1">
            <x v="6"/>
          </reference>
          <reference field="0" count="1" selected="0">
            <x v="0"/>
          </reference>
        </references>
      </pivotArea>
    </format>
    <format dxfId="206">
      <pivotArea outline="0" collapsedLevelsAreSubtotals="1" fieldPosition="0">
        <references count="2">
          <reference field="4294967294" count="1" selected="0">
            <x v="6"/>
          </reference>
          <reference field="0" count="1" selected="0">
            <x v="0"/>
          </reference>
        </references>
      </pivotArea>
    </format>
    <format dxfId="205">
      <pivotArea dataOnly="0" labelOnly="1" outline="0" fieldPosition="0">
        <references count="2">
          <reference field="4294967294" count="1">
            <x v="6"/>
          </reference>
          <reference field="0" count="1" selected="0">
            <x v="0"/>
          </reference>
        </references>
      </pivotArea>
    </format>
    <format dxfId="204">
      <pivotArea field="0" dataOnly="0" labelOnly="1" grandRow="1" outline="0" axis="axisRow" fieldPosition="0">
        <references count="1">
          <reference field="4294967294" count="1" selected="0">
            <x v="0"/>
          </reference>
        </references>
      </pivotArea>
    </format>
    <format dxfId="203">
      <pivotArea field="0" dataOnly="0" labelOnly="1" grandRow="1" outline="0" axis="axisRow" fieldPosition="0">
        <references count="1">
          <reference field="4294967294" count="1" selected="0">
            <x v="1"/>
          </reference>
        </references>
      </pivotArea>
    </format>
    <format dxfId="202">
      <pivotArea field="0" dataOnly="0" labelOnly="1" grandRow="1" outline="0" axis="axisRow" fieldPosition="0">
        <references count="1">
          <reference field="4294967294" count="1" selected="0">
            <x v="2"/>
          </reference>
        </references>
      </pivotArea>
    </format>
    <format dxfId="201">
      <pivotArea field="0" dataOnly="0" labelOnly="1" grandRow="1" outline="0" axis="axisRow" fieldPosition="0">
        <references count="1">
          <reference field="4294967294" count="1" selected="0">
            <x v="3"/>
          </reference>
        </references>
      </pivotArea>
    </format>
    <format dxfId="200">
      <pivotArea field="0" dataOnly="0" labelOnly="1" grandRow="1" outline="0" axis="axisRow" fieldPosition="0">
        <references count="1">
          <reference field="4294967294" count="1" selected="0">
            <x v="4"/>
          </reference>
        </references>
      </pivotArea>
    </format>
    <format dxfId="199">
      <pivotArea field="0" dataOnly="0" labelOnly="1" grandRow="1" outline="0" axis="axisRow" fieldPosition="0">
        <references count="1">
          <reference field="4294967294" count="1" selected="0">
            <x v="5"/>
          </reference>
        </references>
      </pivotArea>
    </format>
    <format dxfId="198">
      <pivotArea field="0" dataOnly="0" labelOnly="1" grandRow="1" outline="0" axis="axisRow" fieldPosition="0">
        <references count="1">
          <reference field="4294967294" count="1" selected="0">
            <x v="6"/>
          </reference>
        </references>
      </pivotArea>
    </format>
    <format dxfId="197">
      <pivotArea outline="0" collapsedLevelsAreSubtotals="1" fieldPosition="0">
        <references count="2">
          <reference field="4294967294" count="1" selected="0">
            <x v="2"/>
          </reference>
          <reference field="0" count="1" selected="0">
            <x v="8"/>
          </reference>
        </references>
      </pivotArea>
    </format>
    <format dxfId="196">
      <pivotArea outline="0" collapsedLevelsAreSubtotals="1" fieldPosition="0">
        <references count="2">
          <reference field="4294967294" count="1" selected="0">
            <x v="2"/>
          </reference>
          <reference field="0" count="1" selected="0">
            <x v="8"/>
          </reference>
        </references>
      </pivotArea>
    </format>
    <format dxfId="195">
      <pivotArea outline="0" collapsedLevelsAreSubtotals="1" fieldPosition="0">
        <references count="4">
          <reference field="4294967294" count="1" selected="0">
            <x v="5"/>
          </reference>
          <reference field="0" count="1" selected="0">
            <x v="8"/>
          </reference>
          <reference field="3" count="1" selected="0">
            <x v="0"/>
          </reference>
          <reference field="42" count="1" selected="0">
            <x v="0"/>
          </reference>
        </references>
      </pivotArea>
    </format>
    <format dxfId="194">
      <pivotArea outline="0" collapsedLevelsAreSubtotals="1" fieldPosition="0">
        <references count="4">
          <reference field="4294967294" count="1" selected="0">
            <x v="6"/>
          </reference>
          <reference field="0" count="1" selected="0">
            <x v="8"/>
          </reference>
          <reference field="3" count="1" selected="0">
            <x v="0"/>
          </reference>
          <reference field="42" count="1" selected="0">
            <x v="0"/>
          </reference>
        </references>
      </pivotArea>
    </format>
    <format dxfId="193">
      <pivotArea outline="0" collapsedLevelsAreSubtotals="1" fieldPosition="0">
        <references count="2">
          <reference field="4294967294" count="1" selected="0">
            <x v="6"/>
          </reference>
          <reference field="0" count="1" selected="0">
            <x v="8"/>
          </reference>
        </references>
      </pivotArea>
    </format>
    <format dxfId="192">
      <pivotArea outline="0" collapsedLevelsAreSubtotals="1" fieldPosition="0">
        <references count="2">
          <reference field="4294967294" count="1" selected="0">
            <x v="6"/>
          </reference>
          <reference field="0" count="1" selected="0">
            <x v="8"/>
          </reference>
        </references>
      </pivotArea>
    </format>
    <format dxfId="191">
      <pivotArea outline="0" collapsedLevelsAreSubtotals="1" fieldPosition="0">
        <references count="2">
          <reference field="4294967294" count="1" selected="0">
            <x v="2"/>
          </reference>
          <reference field="0" count="1" selected="0">
            <x v="0"/>
          </reference>
        </references>
      </pivotArea>
    </format>
    <format dxfId="190">
      <pivotArea outline="0" collapsedLevelsAreSubtotals="1" fieldPosition="0">
        <references count="2">
          <reference field="4294967294" count="1" selected="0">
            <x v="6"/>
          </reference>
          <reference field="0" count="1" selected="0">
            <x v="0"/>
          </reference>
        </references>
      </pivotArea>
    </format>
    <format dxfId="189">
      <pivotArea outline="0" collapsedLevelsAreSubtotals="1" fieldPosition="0">
        <references count="2">
          <reference field="4294967294" count="1" selected="0">
            <x v="6"/>
          </reference>
          <reference field="0" count="1" selected="0">
            <x v="0"/>
          </reference>
        </references>
      </pivotArea>
    </format>
    <format dxfId="188">
      <pivotArea outline="0" collapsedLevelsAreSubtotals="1" fieldPosition="0">
        <references count="2">
          <reference field="4294967294" count="1" selected="0">
            <x v="6"/>
          </reference>
          <reference field="0" count="1" selected="0">
            <x v="1"/>
          </reference>
        </references>
      </pivotArea>
    </format>
    <format dxfId="187">
      <pivotArea outline="0" collapsedLevelsAreSubtotals="1" fieldPosition="0">
        <references count="4">
          <reference field="4294967294" count="1" selected="0">
            <x v="6"/>
          </reference>
          <reference field="0" count="1" selected="0">
            <x v="0"/>
          </reference>
          <reference field="3" count="1" selected="0">
            <x v="0"/>
          </reference>
          <reference field="42" count="1" selected="0">
            <x v="0"/>
          </reference>
        </references>
      </pivotArea>
    </format>
    <format dxfId="186">
      <pivotArea outline="0" collapsedLevelsAreSubtotals="1" fieldPosition="0">
        <references count="4">
          <reference field="4294967294" count="1" selected="0">
            <x v="6"/>
          </reference>
          <reference field="0" count="1" selected="0">
            <x v="2"/>
          </reference>
          <reference field="3" count="1" selected="0">
            <x v="0"/>
          </reference>
          <reference field="42" count="1" selected="0">
            <x v="0"/>
          </reference>
        </references>
      </pivotArea>
    </format>
    <format dxfId="185">
      <pivotArea outline="0" collapsedLevelsAreSubtotals="1" fieldPosition="0">
        <references count="4">
          <reference field="4294967294" count="1" selected="0">
            <x v="6"/>
          </reference>
          <reference field="0" count="1" selected="0">
            <x v="3"/>
          </reference>
          <reference field="3" count="1" selected="0">
            <x v="0"/>
          </reference>
          <reference field="42" count="1" selected="0">
            <x v="0"/>
          </reference>
        </references>
      </pivotArea>
    </format>
    <format dxfId="184">
      <pivotArea outline="0" collapsedLevelsAreSubtotals="1" fieldPosition="0">
        <references count="4">
          <reference field="4294967294" count="1" selected="0">
            <x v="6"/>
          </reference>
          <reference field="0" count="1" selected="0">
            <x v="4"/>
          </reference>
          <reference field="3" count="1" selected="0">
            <x v="0"/>
          </reference>
          <reference field="42" count="1" selected="0">
            <x v="0"/>
          </reference>
        </references>
      </pivotArea>
    </format>
    <format dxfId="183">
      <pivotArea outline="0" collapsedLevelsAreSubtotals="1" fieldPosition="0">
        <references count="4">
          <reference field="4294967294" count="1" selected="0">
            <x v="6"/>
          </reference>
          <reference field="0" count="1" selected="0">
            <x v="5"/>
          </reference>
          <reference field="3" count="1" selected="0">
            <x v="0"/>
          </reference>
          <reference field="42" count="1" selected="0">
            <x v="0"/>
          </reference>
        </references>
      </pivotArea>
    </format>
    <format dxfId="182">
      <pivotArea outline="0" collapsedLevelsAreSubtotals="1" fieldPosition="0">
        <references count="4">
          <reference field="4294967294" count="1" selected="0">
            <x v="6"/>
          </reference>
          <reference field="0" count="1" selected="0">
            <x v="6"/>
          </reference>
          <reference field="3" count="1" selected="0">
            <x v="0"/>
          </reference>
          <reference field="42" count="1" selected="0">
            <x v="0"/>
          </reference>
        </references>
      </pivotArea>
    </format>
    <format dxfId="181">
      <pivotArea outline="0" collapsedLevelsAreSubtotals="1" fieldPosition="0">
        <references count="4">
          <reference field="4294967294" count="1" selected="0">
            <x v="6"/>
          </reference>
          <reference field="0" count="1" selected="0">
            <x v="7"/>
          </reference>
          <reference field="3" count="1" selected="0">
            <x v="0"/>
          </reference>
          <reference field="42" count="1" selected="0">
            <x v="0"/>
          </reference>
        </references>
      </pivotArea>
    </format>
    <format dxfId="180">
      <pivotArea outline="0" collapsedLevelsAreSubtotals="1" fieldPosition="0">
        <references count="4">
          <reference field="4294967294" count="1" selected="0">
            <x v="6"/>
          </reference>
          <reference field="0" count="1" selected="0">
            <x v="8"/>
          </reference>
          <reference field="3" count="1" selected="0">
            <x v="0"/>
          </reference>
          <reference field="42" count="1" selected="0">
            <x v="0"/>
          </reference>
        </references>
      </pivotArea>
    </format>
    <format dxfId="179">
      <pivotArea outline="0" collapsedLevelsAreSubtotals="1" fieldPosition="0">
        <references count="4">
          <reference field="4294967294" count="1" selected="0">
            <x v="6"/>
          </reference>
          <reference field="0" count="1" selected="0">
            <x v="10"/>
          </reference>
          <reference field="3" count="1" selected="0">
            <x v="0"/>
          </reference>
          <reference field="42" count="1" selected="0">
            <x v="0"/>
          </reference>
        </references>
      </pivotArea>
    </format>
    <format dxfId="178">
      <pivotArea outline="0" collapsedLevelsAreSubtotals="1" fieldPosition="0">
        <references count="4">
          <reference field="4294967294" count="1" selected="0">
            <x v="6"/>
          </reference>
          <reference field="0" count="1" selected="0">
            <x v="11"/>
          </reference>
          <reference field="3" count="1" selected="0">
            <x v="0"/>
          </reference>
          <reference field="42" count="1" selected="0">
            <x v="0"/>
          </reference>
        </references>
      </pivotArea>
    </format>
    <format dxfId="177">
      <pivotArea outline="0" collapsedLevelsAreSubtotals="1" fieldPosition="0">
        <references count="4">
          <reference field="4294967294" count="1" selected="0">
            <x v="6"/>
          </reference>
          <reference field="0" count="1" selected="0">
            <x v="12"/>
          </reference>
          <reference field="3" count="1" selected="0">
            <x v="0"/>
          </reference>
          <reference field="42" count="1" selected="0">
            <x v="0"/>
          </reference>
        </references>
      </pivotArea>
    </format>
    <format dxfId="176">
      <pivotArea outline="0" collapsedLevelsAreSubtotals="1" fieldPosition="0">
        <references count="4">
          <reference field="4294967294" count="1" selected="0">
            <x v="6"/>
          </reference>
          <reference field="0" count="1" selected="0">
            <x v="13"/>
          </reference>
          <reference field="3" count="1" selected="0">
            <x v="0"/>
          </reference>
          <reference field="42" count="1" selected="0">
            <x v="0"/>
          </reference>
        </references>
      </pivotArea>
    </format>
    <format dxfId="175">
      <pivotArea outline="0" collapsedLevelsAreSubtotals="1" fieldPosition="0">
        <references count="4">
          <reference field="4294967294" count="1" selected="0">
            <x v="6"/>
          </reference>
          <reference field="0" count="1" selected="0">
            <x v="14"/>
          </reference>
          <reference field="3" count="1" selected="0">
            <x v="0"/>
          </reference>
          <reference field="42" count="1" selected="0">
            <x v="0"/>
          </reference>
        </references>
      </pivotArea>
    </format>
    <format dxfId="174">
      <pivotArea outline="0" collapsedLevelsAreSubtotals="1" fieldPosition="0">
        <references count="4">
          <reference field="4294967294" count="1" selected="0">
            <x v="6"/>
          </reference>
          <reference field="0" count="1" selected="0">
            <x v="15"/>
          </reference>
          <reference field="3" count="1" selected="0">
            <x v="0"/>
          </reference>
          <reference field="42" count="1" selected="0">
            <x v="0"/>
          </reference>
        </references>
      </pivotArea>
    </format>
    <format dxfId="173">
      <pivotArea field="42" grandRow="1" outline="0" collapsedLevelsAreSubtotals="1" axis="axisCol" fieldPosition="0">
        <references count="3">
          <reference field="4294967294" count="1" selected="0">
            <x v="6"/>
          </reference>
          <reference field="3" count="1" selected="0">
            <x v="0"/>
          </reference>
          <reference field="42" count="1" selected="0">
            <x v="0"/>
          </reference>
        </references>
      </pivotArea>
    </format>
    <format dxfId="172">
      <pivotArea field="42" grandRow="1" outline="0" collapsedLevelsAreSubtotals="1" axis="axisCol" fieldPosition="0">
        <references count="3">
          <reference field="4294967294" count="1" selected="0">
            <x v="6"/>
          </reference>
          <reference field="3" count="5" selected="0">
            <x v="1"/>
            <x v="2"/>
            <x v="3"/>
            <x v="4"/>
            <x v="5"/>
          </reference>
          <reference field="42" count="1" selected="0">
            <x v="0"/>
          </reference>
        </references>
      </pivotArea>
    </format>
    <format dxfId="171">
      <pivotArea field="42" grandRow="1" outline="0" collapsedLevelsAreSubtotals="1" axis="axisCol" fieldPosition="0">
        <references count="2">
          <reference field="4294967294" count="1" selected="0">
            <x v="6"/>
          </reference>
          <reference field="42" count="1" selected="0" defaultSubtotal="1">
            <x v="0"/>
          </reference>
        </references>
      </pivotArea>
    </format>
    <format dxfId="170">
      <pivotArea field="42" grandRow="1" outline="0" collapsedLevelsAreSubtotals="1" axis="axisCol" fieldPosition="0">
        <references count="2">
          <reference field="4294967294" count="1" selected="0">
            <x v="6"/>
          </reference>
          <reference field="42" count="3" selected="0" defaultSubtotal="1">
            <x v="1"/>
            <x v="5"/>
            <x v="6"/>
          </reference>
        </references>
      </pivotArea>
    </format>
    <format dxfId="169">
      <pivotArea field="0" grandRow="1" outline="0" collapsedLevelsAreSubtotals="1" axis="axisRow" fieldPosition="0">
        <references count="1">
          <reference field="4294967294" count="1" selected="0">
            <x v="6"/>
          </reference>
        </references>
      </pivotArea>
    </format>
    <format dxfId="168">
      <pivotArea field="0" dataOnly="0" labelOnly="1" grandRow="1" outline="0" axis="axisRow" fieldPosition="0">
        <references count="1">
          <reference field="4294967294" count="1" selected="0">
            <x v="0"/>
          </reference>
        </references>
      </pivotArea>
    </format>
    <format dxfId="167">
      <pivotArea field="0" dataOnly="0" labelOnly="1" grandRow="1" outline="0" axis="axisRow" fieldPosition="0">
        <references count="1">
          <reference field="4294967294" count="1" selected="0">
            <x v="1"/>
          </reference>
        </references>
      </pivotArea>
    </format>
    <format dxfId="166">
      <pivotArea field="0" dataOnly="0" labelOnly="1" grandRow="1" outline="0" axis="axisRow" fieldPosition="0">
        <references count="1">
          <reference field="4294967294" count="1" selected="0">
            <x v="2"/>
          </reference>
        </references>
      </pivotArea>
    </format>
    <format dxfId="165">
      <pivotArea field="0" dataOnly="0" labelOnly="1" grandRow="1" outline="0" axis="axisRow" fieldPosition="0">
        <references count="1">
          <reference field="4294967294" count="1" selected="0">
            <x v="3"/>
          </reference>
        </references>
      </pivotArea>
    </format>
    <format dxfId="164">
      <pivotArea field="0" dataOnly="0" labelOnly="1" grandRow="1" outline="0" axis="axisRow" fieldPosition="0">
        <references count="1">
          <reference field="4294967294" count="1" selected="0">
            <x v="4"/>
          </reference>
        </references>
      </pivotArea>
    </format>
    <format dxfId="163">
      <pivotArea field="0" dataOnly="0" labelOnly="1" grandRow="1" outline="0" axis="axisRow" fieldPosition="0">
        <references count="1">
          <reference field="4294967294" count="1" selected="0">
            <x v="5"/>
          </reference>
        </references>
      </pivotArea>
    </format>
    <format dxfId="162">
      <pivotArea field="0" dataOnly="0" labelOnly="1" grandRow="1" outline="0" axis="axisRow" fieldPosition="0">
        <references count="1">
          <reference field="4294967294" count="1" selected="0">
            <x v="6"/>
          </reference>
        </references>
      </pivotArea>
    </format>
    <format dxfId="161">
      <pivotArea outline="0" collapsedLevelsAreSubtotals="1" fieldPosition="0">
        <references count="2">
          <reference field="4294967294" count="1" selected="0">
            <x v="6"/>
          </reference>
          <reference field="0" count="1" selected="0">
            <x v="9"/>
          </reference>
        </references>
      </pivotArea>
    </format>
    <format dxfId="160">
      <pivotArea outline="0" collapsedLevelsAreSubtotals="1" fieldPosition="0">
        <references count="1">
          <reference field="42" count="2" selected="0" defaultSubtotal="1">
            <x v="7"/>
            <x v="8"/>
          </reference>
        </references>
      </pivotArea>
    </format>
    <format dxfId="159">
      <pivotArea type="topRight" dataOnly="0" labelOnly="1" outline="0" offset="Q1:T1" fieldPosition="0"/>
    </format>
    <format dxfId="158">
      <pivotArea dataOnly="0" labelOnly="1" outline="0" fieldPosition="0">
        <references count="1">
          <reference field="42" count="2">
            <x v="7"/>
            <x v="8"/>
          </reference>
        </references>
      </pivotArea>
    </format>
    <format dxfId="157">
      <pivotArea dataOnly="0" labelOnly="1" outline="0" fieldPosition="0">
        <references count="1">
          <reference field="42" count="2" defaultSubtotal="1">
            <x v="7"/>
            <x v="8"/>
          </reference>
        </references>
      </pivotArea>
    </format>
    <format dxfId="156">
      <pivotArea dataOnly="0" labelOnly="1" outline="0" fieldPosition="0">
        <references count="2">
          <reference field="3" count="1">
            <x v="17"/>
          </reference>
          <reference field="42" count="1" selected="0">
            <x v="7"/>
          </reference>
        </references>
      </pivotArea>
    </format>
    <format dxfId="155">
      <pivotArea dataOnly="0" labelOnly="1" outline="0" fieldPosition="0">
        <references count="2">
          <reference field="3" count="1">
            <x v="18"/>
          </reference>
          <reference field="42" count="1" selected="0">
            <x v="8"/>
          </reference>
        </references>
      </pivotArea>
    </format>
    <format dxfId="154">
      <pivotArea field="42" grandRow="1" outline="0" collapsedLevelsAreSubtotals="1" axis="axisCol" fieldPosition="0">
        <references count="3">
          <reference field="4294967294" count="1" selected="0">
            <x v="6"/>
          </reference>
          <reference field="3" count="2" selected="0">
            <x v="14"/>
            <x v="15"/>
          </reference>
          <reference field="42" count="1" selected="0">
            <x v="5"/>
          </reference>
        </references>
      </pivotArea>
    </format>
    <format dxfId="153">
      <pivotArea field="42" grandRow="1" outline="0" collapsedLevelsAreSubtotals="1" axis="axisCol" fieldPosition="0">
        <references count="2">
          <reference field="4294967294" count="1" selected="0">
            <x v="6"/>
          </reference>
          <reference field="42" count="1" selected="0" defaultSubtotal="1">
            <x v="5"/>
          </reference>
        </references>
      </pivotArea>
    </format>
    <format dxfId="152">
      <pivotArea field="42" grandRow="1" outline="0" collapsedLevelsAreSubtotals="1" axis="axisCol" fieldPosition="0">
        <references count="2">
          <reference field="4294967294" count="1" selected="0">
            <x v="6"/>
          </reference>
          <reference field="42" count="3" selected="0" defaultSubtotal="1">
            <x v="6"/>
            <x v="7"/>
            <x v="8"/>
          </reference>
        </references>
      </pivotArea>
    </format>
    <format dxfId="151">
      <pivotArea field="42" grandRow="1" outline="0" collapsedLevelsAreSubtotals="1" axis="axisCol" fieldPosition="0">
        <references count="2">
          <reference field="4294967294" count="1" selected="0">
            <x v="6"/>
          </reference>
          <reference field="42" count="2" selected="0" defaultSubtotal="1">
            <x v="0"/>
            <x v="1"/>
          </reference>
        </references>
      </pivotArea>
    </format>
    <format dxfId="150">
      <pivotArea field="42" grandRow="1" outline="0" collapsedLevelsAreSubtotals="1" axis="axisCol" fieldPosition="0">
        <references count="3">
          <reference field="4294967294" count="1" selected="0">
            <x v="6"/>
          </reference>
          <reference field="3" count="1" selected="0">
            <x v="13"/>
          </reference>
          <reference field="42" count="1" selected="0">
            <x v="5"/>
          </reference>
        </references>
      </pivotArea>
    </format>
    <format dxfId="149">
      <pivotArea outline="0" collapsedLevelsAreSubtotals="1" fieldPosition="0">
        <references count="4">
          <reference field="4294967294" count="1" selected="0">
            <x v="6"/>
          </reference>
          <reference field="0" count="1" selected="0">
            <x v="5"/>
          </reference>
          <reference field="3" count="1" selected="0">
            <x v="13"/>
          </reference>
          <reference field="42" count="1" selected="0">
            <x v="5"/>
          </reference>
        </references>
      </pivotArea>
    </format>
    <format dxfId="148">
      <pivotArea outline="0" collapsedLevelsAreSubtotals="1" fieldPosition="0">
        <references count="4">
          <reference field="4294967294" count="1" selected="0">
            <x v="6"/>
          </reference>
          <reference field="0" count="1" selected="0">
            <x v="5"/>
          </reference>
          <reference field="3" count="1" selected="0">
            <x v="13"/>
          </reference>
          <reference field="42" count="1" selected="0">
            <x v="5"/>
          </reference>
        </references>
      </pivotArea>
    </format>
    <format dxfId="147">
      <pivotArea outline="0" collapsedLevelsAreSubtotals="1" fieldPosition="0">
        <references count="4">
          <reference field="4294967294" count="1" selected="0">
            <x v="6"/>
          </reference>
          <reference field="0" count="1" selected="0">
            <x v="6"/>
          </reference>
          <reference field="3" count="1" selected="0">
            <x v="6"/>
          </reference>
          <reference field="42" count="1" selected="0">
            <x v="1"/>
          </reference>
        </references>
      </pivotArea>
    </format>
    <format dxfId="146">
      <pivotArea outline="0" collapsedLevelsAreSubtotals="1" fieldPosition="0">
        <references count="4">
          <reference field="4294967294" count="1" selected="0">
            <x v="6"/>
          </reference>
          <reference field="0" count="1" selected="0">
            <x v="6"/>
          </reference>
          <reference field="3" count="1" selected="0">
            <x v="15"/>
          </reference>
          <reference field="42" count="1" selected="0">
            <x v="5"/>
          </reference>
        </references>
      </pivotArea>
    </format>
    <format dxfId="145">
      <pivotArea outline="0" collapsedLevelsAreSubtotals="1" fieldPosition="0">
        <references count="4">
          <reference field="4294967294" count="1" selected="0">
            <x v="6"/>
          </reference>
          <reference field="0" count="1" selected="0">
            <x v="14"/>
          </reference>
          <reference field="3" count="1" selected="0">
            <x v="8"/>
          </reference>
          <reference field="42" count="1" selected="0">
            <x v="1"/>
          </reference>
        </references>
      </pivotArea>
    </format>
    <format dxfId="144">
      <pivotArea outline="0" collapsedLevelsAreSubtotals="1" fieldPosition="0">
        <references count="4">
          <reference field="4294967294" count="1" selected="0">
            <x v="6"/>
          </reference>
          <reference field="0" count="1" selected="0">
            <x v="14"/>
          </reference>
          <reference field="3" count="1" selected="0">
            <x v="9"/>
          </reference>
          <reference field="42" count="1" selected="0">
            <x v="1"/>
          </reference>
        </references>
      </pivotArea>
    </format>
  </formats>
  <pivotTableStyleInfo showRowHeaders="1" showColHeaders="1" showRowStripes="0" showColStripes="0" showLastColumn="1"/>
</pivotTableDefinition>
</file>

<file path=xl/queryTables/queryTable1.xml><?xml version="1.0" encoding="utf-8"?>
<queryTable xmlns="http://schemas.openxmlformats.org/spreadsheetml/2006/main" name="JrCH08ug1"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JrSCH08ug1" connectionId="7"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SrSCH08gr2" connectionId="11"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Dual07" connectionId="1"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JrSCH08ug2" connectionId="8"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SrSCH08gr3" connectionId="12"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SrSCH08ug4" connectionId="16"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JrCH08ug4" connectionId="6"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SrSCH08gr4" connectionId="13"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JrCH08ug3" connectionId="5"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SrSCH08ug2" connectionId="14"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JrSCH08ug4" connectionId="10" autoFormatId="16" applyNumberFormats="0" applyBorderFormats="0" applyFontFormats="1" applyPatternFormats="1" applyAlignmentFormats="0" applyWidthHeightFormats="0"/>
</file>

<file path=xl/queryTables/queryTable13.xml><?xml version="1.0" encoding="utf-8"?>
<queryTable xmlns="http://schemas.openxmlformats.org/spreadsheetml/2006/main" name="JrSCH08ug3" connectionId="9" autoFormatId="16" applyNumberFormats="0" applyBorderFormats="0" applyFontFormats="1" applyPatternFormats="1" applyAlignmentFormats="0" applyWidthHeightFormats="0"/>
</file>

<file path=xl/queryTables/queryTable14.xml><?xml version="1.0" encoding="utf-8"?>
<queryTable xmlns="http://schemas.openxmlformats.org/spreadsheetml/2006/main" name="SrSCH08ug3" connectionId="15" autoFormatId="16" applyNumberFormats="0" applyBorderFormats="0" applyFontFormats="1" applyPatternFormats="1" applyAlignmentFormats="0" applyWidthHeightFormats="0"/>
</file>

<file path=xl/queryTables/queryTable15.xml><?xml version="1.0" encoding="utf-8"?>
<queryTable xmlns="http://schemas.openxmlformats.org/spreadsheetml/2006/main" name="Dual08" connectionId="2" autoFormatId="16" applyNumberFormats="0" applyBorderFormats="0" applyFontFormats="1" applyPatternFormats="1" applyAlignmentFormats="0" applyWidthHeightFormats="0"/>
</file>

<file path=xl/queryTables/queryTable16.xml><?xml version="1.0" encoding="utf-8"?>
<queryTable xmlns="http://schemas.openxmlformats.org/spreadsheetml/2006/main" name="JrCH08ug2" connectionId="4"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6.xml"/><Relationship Id="rId13" Type="http://schemas.openxmlformats.org/officeDocument/2006/relationships/queryTable" Target="../queryTables/queryTable11.xml"/><Relationship Id="rId18" Type="http://schemas.openxmlformats.org/officeDocument/2006/relationships/queryTable" Target="../queryTables/queryTable16.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17" Type="http://schemas.openxmlformats.org/officeDocument/2006/relationships/queryTable" Target="../queryTables/queryTable15.xml"/><Relationship Id="rId2" Type="http://schemas.openxmlformats.org/officeDocument/2006/relationships/vmlDrawing" Target="../drawings/vmlDrawing4.vml"/><Relationship Id="rId16" Type="http://schemas.openxmlformats.org/officeDocument/2006/relationships/queryTable" Target="../queryTables/queryTable14.xml"/><Relationship Id="rId1" Type="http://schemas.openxmlformats.org/officeDocument/2006/relationships/printerSettings" Target="../printerSettings/printerSettings5.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5" Type="http://schemas.openxmlformats.org/officeDocument/2006/relationships/queryTable" Target="../queryTables/queryTable13.xml"/><Relationship Id="rId10" Type="http://schemas.openxmlformats.org/officeDocument/2006/relationships/queryTable" Target="../queryTables/queryTable8.xml"/><Relationship Id="rId19" Type="http://schemas.openxmlformats.org/officeDocument/2006/relationships/comments" Target="../comments4.xml"/><Relationship Id="rId4" Type="http://schemas.openxmlformats.org/officeDocument/2006/relationships/queryTable" Target="../queryTables/queryTable2.xml"/><Relationship Id="rId9" Type="http://schemas.openxmlformats.org/officeDocument/2006/relationships/queryTable" Target="../queryTables/queryTable7.xml"/><Relationship Id="rId14" Type="http://schemas.openxmlformats.org/officeDocument/2006/relationships/queryTable" Target="../queryTables/queryTable12.xml"/></Relationships>
</file>

<file path=xl/worksheets/sheet1.xml><?xml version="1.0" encoding="utf-8"?>
<worksheet xmlns="http://schemas.openxmlformats.org/spreadsheetml/2006/main" xmlns:r="http://schemas.openxmlformats.org/officeDocument/2006/relationships">
  <sheetPr codeName="Sheet3">
    <tabColor indexed="16"/>
  </sheetPr>
  <dimension ref="A1:BJ267"/>
  <sheetViews>
    <sheetView showGridLines="0" showZeros="0" view="pageBreakPreview" topLeftCell="A58" zoomScale="60" zoomScaleNormal="70" workbookViewId="0">
      <selection activeCell="H70" sqref="H70"/>
    </sheetView>
  </sheetViews>
  <sheetFormatPr defaultRowHeight="12.75"/>
  <cols>
    <col min="1" max="1" width="16.83203125" style="1" customWidth="1"/>
    <col min="2" max="2" width="11.33203125" style="1" customWidth="1"/>
    <col min="3" max="3" width="9.6640625" style="1" customWidth="1"/>
    <col min="4" max="4" width="11.33203125" style="1" customWidth="1"/>
    <col min="5" max="5" width="9.83203125" style="1" customWidth="1"/>
    <col min="6" max="6" width="12.1640625" style="1" customWidth="1"/>
    <col min="7" max="7" width="9.5" style="1" customWidth="1"/>
    <col min="8" max="8" width="11" style="4" customWidth="1"/>
    <col min="9" max="9" width="9.6640625" style="1" customWidth="1"/>
    <col min="10" max="10" width="11" style="4" customWidth="1"/>
    <col min="11" max="11" width="9.6640625" style="4" customWidth="1"/>
    <col min="12" max="12" width="9.1640625" style="4" customWidth="1"/>
    <col min="13" max="13" width="9.6640625" style="74" customWidth="1"/>
    <col min="14" max="14" width="12.1640625" style="1" customWidth="1"/>
    <col min="15" max="15" width="9.6640625" style="1" customWidth="1"/>
    <col min="16" max="16" width="12" style="1" customWidth="1"/>
    <col min="17" max="17" width="12.33203125" style="1" customWidth="1"/>
    <col min="18" max="18" width="14.6640625" style="1" customWidth="1"/>
    <col min="19" max="19" width="14.1640625" style="1" customWidth="1"/>
    <col min="20" max="20" width="13.6640625" style="1" customWidth="1"/>
    <col min="21" max="21" width="13.83203125" style="1" customWidth="1"/>
    <col min="22" max="22" width="12.33203125" style="1" customWidth="1"/>
    <col min="23" max="23" width="12.83203125" style="1" customWidth="1"/>
    <col min="24" max="24" width="11.33203125" style="1" customWidth="1"/>
    <col min="25" max="26" width="13.33203125" style="1" customWidth="1"/>
    <col min="27" max="27" width="12.1640625" style="1" customWidth="1"/>
    <col min="28" max="28" width="12.5" style="1" customWidth="1"/>
    <col min="29" max="29" width="12.1640625" style="1" customWidth="1"/>
    <col min="30" max="30" width="9.83203125" style="1" customWidth="1"/>
    <col min="31" max="31" width="11.5" style="1" customWidth="1"/>
    <col min="32" max="32" width="10.83203125" style="1" bestFit="1" customWidth="1"/>
    <col min="33" max="33" width="10" style="1" bestFit="1" customWidth="1"/>
    <col min="34" max="34" width="11.1640625" style="1" customWidth="1"/>
    <col min="35" max="35" width="10" style="1" bestFit="1" customWidth="1"/>
    <col min="36" max="36" width="9.33203125" style="1"/>
    <col min="37" max="37" width="9.5" style="1" bestFit="1" customWidth="1"/>
    <col min="38" max="38" width="12.5" style="1" customWidth="1"/>
    <col min="39" max="39" width="9.33203125" style="1"/>
    <col min="40" max="40" width="11.5" style="1" customWidth="1"/>
    <col min="41" max="41" width="9.33203125" style="1"/>
    <col min="42" max="42" width="12" style="1" customWidth="1"/>
    <col min="43" max="44" width="9.33203125" style="1"/>
    <col min="45" max="45" width="9.5" style="1" bestFit="1" customWidth="1"/>
    <col min="46" max="46" width="11" style="1" customWidth="1"/>
    <col min="47" max="48" width="9.33203125" style="1"/>
    <col min="49" max="49" width="11.1640625" style="1" customWidth="1"/>
    <col min="50" max="56" width="9.33203125" style="1"/>
    <col min="57" max="57" width="12.33203125" style="1" customWidth="1"/>
    <col min="58" max="16384" width="9.33203125" style="1"/>
  </cols>
  <sheetData>
    <row r="1" spans="1:31" ht="18">
      <c r="A1" s="42" t="s">
        <v>922</v>
      </c>
      <c r="B1" s="20"/>
      <c r="C1" s="20"/>
      <c r="D1" s="20"/>
      <c r="E1" s="20"/>
      <c r="F1" s="20"/>
      <c r="G1" s="20"/>
      <c r="H1" s="116"/>
      <c r="I1" s="20"/>
      <c r="J1" s="116"/>
      <c r="K1" s="116"/>
      <c r="L1" s="116"/>
      <c r="M1" s="387"/>
      <c r="N1" s="17"/>
      <c r="O1" s="22"/>
    </row>
    <row r="2" spans="1:31" ht="13.5" customHeight="1">
      <c r="A2" s="21"/>
      <c r="B2" s="21"/>
      <c r="C2" s="21"/>
      <c r="D2" s="21"/>
      <c r="E2" s="21"/>
      <c r="F2" s="21"/>
      <c r="G2" s="21"/>
      <c r="H2" s="117"/>
      <c r="I2" s="21"/>
      <c r="J2" s="117"/>
      <c r="K2" s="117"/>
      <c r="L2" s="117"/>
      <c r="M2" s="343"/>
      <c r="N2" s="388"/>
      <c r="O2" s="22"/>
    </row>
    <row r="3" spans="1:31" ht="15.75">
      <c r="A3" s="122" t="s">
        <v>384</v>
      </c>
      <c r="B3" s="22"/>
      <c r="C3" s="22"/>
      <c r="D3" s="22"/>
      <c r="E3" s="22"/>
      <c r="F3" s="22"/>
      <c r="G3" s="22"/>
      <c r="H3" s="118"/>
      <c r="I3" s="22"/>
      <c r="J3" s="118"/>
      <c r="K3" s="118"/>
      <c r="L3" s="118"/>
      <c r="M3" s="308"/>
      <c r="N3" s="22"/>
      <c r="O3" s="388"/>
    </row>
    <row r="4" spans="1:31" ht="15.75">
      <c r="A4" s="44" t="s">
        <v>871</v>
      </c>
      <c r="B4" s="22"/>
      <c r="C4" s="22"/>
      <c r="D4" s="22"/>
      <c r="E4" s="22"/>
      <c r="F4" s="22"/>
      <c r="G4" s="22"/>
      <c r="H4" s="118"/>
      <c r="I4" s="22"/>
      <c r="J4" s="118"/>
      <c r="K4" s="118"/>
      <c r="L4" s="118"/>
      <c r="M4" s="308"/>
      <c r="N4" s="389"/>
      <c r="O4" s="22"/>
    </row>
    <row r="5" spans="1:31" ht="12.75" customHeight="1">
      <c r="B5" s="2"/>
      <c r="C5" s="2"/>
      <c r="D5" s="2"/>
      <c r="E5" s="2"/>
      <c r="F5" s="2"/>
      <c r="G5" s="2"/>
      <c r="H5" s="119"/>
      <c r="I5" s="2"/>
      <c r="J5" s="119"/>
      <c r="K5" s="119"/>
      <c r="L5" s="119"/>
      <c r="M5" s="336"/>
      <c r="Q5" s="139" t="s">
        <v>390</v>
      </c>
    </row>
    <row r="6" spans="1:31" ht="15" customHeight="1">
      <c r="A6" s="45"/>
      <c r="B6" s="783" t="s">
        <v>418</v>
      </c>
      <c r="C6" s="784"/>
      <c r="D6" s="784"/>
      <c r="E6" s="784"/>
      <c r="F6" s="784"/>
      <c r="G6" s="784"/>
      <c r="H6" s="120"/>
      <c r="I6" s="303"/>
      <c r="J6" s="303"/>
      <c r="K6" s="303"/>
      <c r="L6" s="303"/>
      <c r="M6" s="303"/>
      <c r="N6" s="303"/>
      <c r="O6" s="303"/>
      <c r="Q6" s="391" t="s">
        <v>825</v>
      </c>
    </row>
    <row r="7" spans="1:31" ht="17.25" customHeight="1">
      <c r="A7" s="46"/>
      <c r="B7" s="334">
        <v>1</v>
      </c>
      <c r="C7" s="22"/>
      <c r="D7" s="335">
        <v>2</v>
      </c>
      <c r="E7" s="22"/>
      <c r="F7" s="335">
        <v>3</v>
      </c>
      <c r="G7" s="22"/>
      <c r="H7" s="335">
        <v>4</v>
      </c>
      <c r="I7" s="66"/>
      <c r="J7" s="335">
        <v>5</v>
      </c>
      <c r="K7" s="66"/>
      <c r="L7" s="335">
        <v>6</v>
      </c>
      <c r="M7" s="337"/>
      <c r="N7" s="335" t="s">
        <v>382</v>
      </c>
      <c r="O7" s="66"/>
      <c r="P7" s="358"/>
      <c r="Q7" s="37"/>
      <c r="R7" s="37" t="s">
        <v>827</v>
      </c>
      <c r="S7" s="37"/>
      <c r="T7" s="399">
        <v>2</v>
      </c>
      <c r="U7" s="37"/>
      <c r="V7" s="399">
        <v>3</v>
      </c>
      <c r="W7" s="37"/>
      <c r="X7" s="399">
        <v>4</v>
      </c>
      <c r="Y7" s="37"/>
      <c r="Z7" s="399">
        <v>5</v>
      </c>
      <c r="AA7" s="37"/>
      <c r="AB7" s="399">
        <v>6</v>
      </c>
      <c r="AC7" s="37"/>
      <c r="AD7" s="399" t="s">
        <v>31</v>
      </c>
      <c r="AE7" s="37"/>
    </row>
    <row r="8" spans="1:31" ht="77.25" customHeight="1">
      <c r="A8" s="333"/>
      <c r="B8" s="339" t="s">
        <v>605</v>
      </c>
      <c r="C8" s="304" t="s">
        <v>72</v>
      </c>
      <c r="D8" s="340" t="s">
        <v>605</v>
      </c>
      <c r="E8" s="304" t="s">
        <v>72</v>
      </c>
      <c r="F8" s="340" t="s">
        <v>605</v>
      </c>
      <c r="G8" s="304" t="s">
        <v>72</v>
      </c>
      <c r="H8" s="340" t="s">
        <v>605</v>
      </c>
      <c r="I8" s="304" t="s">
        <v>72</v>
      </c>
      <c r="J8" s="340" t="s">
        <v>605</v>
      </c>
      <c r="K8" s="304" t="s">
        <v>72</v>
      </c>
      <c r="L8" s="340" t="s">
        <v>605</v>
      </c>
      <c r="M8" s="133" t="s">
        <v>72</v>
      </c>
      <c r="N8" s="340" t="s">
        <v>605</v>
      </c>
      <c r="O8" s="304" t="s">
        <v>72</v>
      </c>
      <c r="P8" s="43"/>
      <c r="Q8" s="397"/>
      <c r="R8" s="398" t="s">
        <v>822</v>
      </c>
      <c r="S8" s="398" t="s">
        <v>32</v>
      </c>
      <c r="T8" s="400" t="s">
        <v>822</v>
      </c>
      <c r="U8" s="398" t="s">
        <v>32</v>
      </c>
      <c r="V8" s="400" t="s">
        <v>822</v>
      </c>
      <c r="W8" s="398" t="s">
        <v>32</v>
      </c>
      <c r="X8" s="400" t="s">
        <v>822</v>
      </c>
      <c r="Y8" s="398" t="s">
        <v>32</v>
      </c>
      <c r="Z8" s="400" t="s">
        <v>822</v>
      </c>
      <c r="AA8" s="398" t="s">
        <v>32</v>
      </c>
      <c r="AB8" s="400" t="s">
        <v>822</v>
      </c>
      <c r="AC8" s="398" t="s">
        <v>32</v>
      </c>
      <c r="AD8" s="400" t="s">
        <v>822</v>
      </c>
      <c r="AE8" s="398" t="s">
        <v>32</v>
      </c>
    </row>
    <row r="9" spans="1:31" ht="15" customHeight="1">
      <c r="A9" s="1" t="s">
        <v>420</v>
      </c>
      <c r="B9" s="356">
        <f>+GETPIVOTDATA("Undergrad Student Credit Hour FTE - New",'FTE Pivot for regular counts'!$A$2,"Category",1,"Category2","Group1")</f>
        <v>804619.08333333326</v>
      </c>
      <c r="C9" s="647"/>
      <c r="D9" s="357">
        <f>+GETPIVOTDATA("Undergrad Student Credit Hour FTE - New",'FTE Pivot for regular counts'!$A$2,"Category",2,"Category2","Four-Year")</f>
        <v>191444.98333333334</v>
      </c>
      <c r="E9" s="647"/>
      <c r="F9" s="331">
        <f>+GETPIVOTDATA("Undergrad Student Credit Hour FTE - New",'FTE Pivot for regular counts'!$A$2,"Category",3,"Category2","Four-Year")</f>
        <v>514714.8</v>
      </c>
      <c r="G9" s="647"/>
      <c r="H9" s="331">
        <f>+GETPIVOTDATA("Undergrad Student Credit Hour FTE - New",'FTE Pivot for regular counts'!$A$2,"Category",4,"Category2","Four-Year")</f>
        <v>188404.4</v>
      </c>
      <c r="I9" s="647"/>
      <c r="J9" s="331">
        <f>+GETPIVOTDATA("Undergrad Student Credit Hour FTE - New",'FTE Pivot for regular counts'!$A$2,"Category",5,"Category2","Four-Year")</f>
        <v>107951.20000000001</v>
      </c>
      <c r="K9" s="647"/>
      <c r="L9" s="331">
        <f>+GETPIVOTDATA("Undergrad Student Credit Hour FTE - New",'FTE Pivot for regular counts'!$A$2,"Category",6,"Category2","Four-Year")</f>
        <v>67276.416666666657</v>
      </c>
      <c r="M9" s="647"/>
      <c r="N9" s="331">
        <f>+GETPIVOTDATA("Undergrad Student Credit Hour FTE - New",'FTE Pivot for regular counts'!$A$2,"Category2","Four-Year")</f>
        <v>1874410.8833333335</v>
      </c>
      <c r="O9" s="647"/>
      <c r="Q9" s="1" t="s">
        <v>420</v>
      </c>
      <c r="R9" s="404">
        <f>+GETPIVOTDATA("Sum of Old-HS % of Total",'Pivot-HS Student % of Undergrad'!$A$3,"Category",1,"Category2","Four-Year")</f>
        <v>2.1821523693000854E-3</v>
      </c>
      <c r="S9" s="394">
        <f>+'Pivot-HS Student % of Undergrad'!Z125*100</f>
        <v>0</v>
      </c>
      <c r="T9" s="402">
        <f>+GETPIVOTDATA("Sum of Old-HS % of Total",'Pivot-HS Student % of Undergrad'!$A$3,"Category",2,"Category2","Four-Year")</f>
        <v>6.6610330537790561E-3</v>
      </c>
      <c r="U9" s="393" t="e">
        <f>+'Pivot-HS Student % of Undergrad'!AA125*100</f>
        <v>#VALUE!</v>
      </c>
      <c r="V9" s="402">
        <f>+GETPIVOTDATA("Sum of Old-HS % of Total",'Pivot-HS Student % of Undergrad'!$A$3,"Category",3,"Category2","Four-Year")</f>
        <v>6.7503773988664287E-3</v>
      </c>
      <c r="W9" s="393" t="e">
        <f>+'Pivot-HS Student % of Undergrad'!AB125*100</f>
        <v>#VALUE!</v>
      </c>
      <c r="X9" s="402">
        <f>+GETPIVOTDATA("Sum of Old-HS % of Total",'Pivot-HS Student % of Undergrad'!$A$3,"Category",4,"Category2","Four-Year")</f>
        <v>8.7146460461301756E-3</v>
      </c>
      <c r="Y9" s="393" t="e">
        <f>+'Pivot-HS Student % of Undergrad'!AC125*100</f>
        <v>#VALUE!</v>
      </c>
      <c r="Z9" s="402">
        <f>+GETPIVOTDATA("Sum of Old-HS % of Total",'Pivot-HS Student % of Undergrad'!$A$3,"Category",5,"Category2","Four-Year")</f>
        <v>6.4104011877779508E-3</v>
      </c>
      <c r="AA9" s="393" t="e">
        <f>+'Pivot-HS Student % of Undergrad'!AD125*100</f>
        <v>#VALUE!</v>
      </c>
      <c r="AB9" s="402">
        <f>+GETPIVOTDATA("Sum of Old-HS % of Total",'Pivot-HS Student % of Undergrad'!$A$3,"Category",6,"Category2","Four-Year")</f>
        <v>1.3436131498576495E-2</v>
      </c>
      <c r="AC9" s="393" t="e">
        <f>+'Pivot-HS Student % of Undergrad'!AE125*100</f>
        <v>#VALUE!</v>
      </c>
      <c r="AD9" s="402">
        <f>+GETPIVOTDATA("Sum of Old-HS % of Total",'Pivot-HS Student % of Undergrad'!$A$3,"Category2","Four-Year")</f>
        <v>5.2172702629521691E-3</v>
      </c>
      <c r="AE9" s="393" t="e">
        <f>+'Pivot-HS Student % of Undergrad'!AF125*100</f>
        <v>#VALUE!</v>
      </c>
    </row>
    <row r="10" spans="1:31" ht="12.75" customHeight="1">
      <c r="B10" s="5"/>
      <c r="C10" s="648" t="s">
        <v>932</v>
      </c>
      <c r="D10" s="331"/>
      <c r="E10" s="648" t="s">
        <v>933</v>
      </c>
      <c r="F10" s="331"/>
      <c r="G10" s="648" t="s">
        <v>934</v>
      </c>
      <c r="H10" s="331"/>
      <c r="I10" s="648" t="s">
        <v>935</v>
      </c>
      <c r="J10" s="331"/>
      <c r="K10" s="648" t="s">
        <v>936</v>
      </c>
      <c r="L10" s="331"/>
      <c r="M10" s="648" t="s">
        <v>937</v>
      </c>
      <c r="N10" s="331"/>
      <c r="O10" s="648" t="s">
        <v>938</v>
      </c>
      <c r="R10" s="359"/>
      <c r="S10" s="393"/>
      <c r="T10" s="402"/>
      <c r="U10" s="393"/>
      <c r="V10" s="402"/>
      <c r="W10" s="393"/>
      <c r="X10" s="402"/>
      <c r="Y10" s="393"/>
      <c r="Z10" s="402"/>
      <c r="AA10" s="393"/>
      <c r="AB10" s="402"/>
      <c r="AC10" s="393"/>
      <c r="AD10" s="402"/>
      <c r="AE10" s="393"/>
    </row>
    <row r="11" spans="1:31" ht="15" customHeight="1">
      <c r="A11" s="1" t="s">
        <v>421</v>
      </c>
      <c r="B11" s="5">
        <f>+GETPIVOTDATA("Undergrad Student Credit Hour FTE - New",'FTE Pivot for regular counts'!$A$2,"State","AL","Category",1,"Category2","Four-Year")</f>
        <v>50208.73333333333</v>
      </c>
      <c r="C11" s="305">
        <f>+GETPIVOTDATA("Sum of New-HS % of Total",'Pivot-HS Student % of Undergrad'!$A$3,"State","AL","Category",1,"Category2","Four-Year")</f>
        <v>0</v>
      </c>
      <c r="D11" s="331">
        <f>+GETPIVOTDATA("Undergrad Student Credit Hour FTE - New",'FTE Pivot for regular counts'!$A$2,"State","AL","Category",2,"Category2","Four-Year")</f>
        <v>5262.9333333333334</v>
      </c>
      <c r="E11" s="305">
        <f>+GETPIVOTDATA("Sum of New-HS % of Total",'Pivot-HS Student % of Undergrad'!$A$3,"State","AL","Category",2,"Category2","Four-Year")</f>
        <v>0</v>
      </c>
      <c r="F11" s="331">
        <f>+GETPIVOTDATA("Undergrad Student Credit Hour FTE - New",'FTE Pivot for regular counts'!$A$2,"State","AL","Category",3,"Category2","Four-Year")</f>
        <v>31034.5</v>
      </c>
      <c r="G11" s="305">
        <f>+GETPIVOTDATA("Sum of New-HS % of Total",'Pivot-HS Student % of Undergrad'!$A$3,"State","AL","Category",3,"Category2","Four-Year")</f>
        <v>0</v>
      </c>
      <c r="H11" s="331">
        <f>+GETPIVOTDATA("Undergrad Student Credit Hour FTE - New",'FTE Pivot for regular counts'!$A$2,"State","AL","Category",4,"Category2","Four-Year")</f>
        <v>13767.833333333332</v>
      </c>
      <c r="I11" s="305">
        <f>+GETPIVOTDATA("Sum of New-HS % of Total",'Pivot-HS Student % of Undergrad'!$A$3,"State","AL","Category",4,"Category2","Four-Year")</f>
        <v>0</v>
      </c>
      <c r="J11" s="331">
        <f>+GETPIVOTDATA("Undergrad Student Credit Hour FTE - New",'FTE Pivot for regular counts'!$A$2,"State","AL","Category",5,"Category2","Four-Year")</f>
        <v>4185.0333333333338</v>
      </c>
      <c r="K11" s="305">
        <f>+GETPIVOTDATA("Sum of New-HS % of Total",'Pivot-HS Student % of Undergrad'!$A$3,"State","AL","Category",5,"Category2","Four-Year")</f>
        <v>0</v>
      </c>
      <c r="L11" s="331">
        <f>+GETPIVOTDATA("Undergrad Student Credit Hour FTE - New",'FTE Pivot for regular counts'!$A$2,"State","AL","Category",6,"Category2","Four-Year")</f>
        <v>2789.9666666666667</v>
      </c>
      <c r="M11" s="305">
        <f>+GETPIVOTDATA("Sum of New-HS % of Total",'Pivot-HS Student % of Undergrad'!$A$3,"State","AL","Category",6,"Category2","Four-Year")</f>
        <v>0</v>
      </c>
      <c r="N11" s="331">
        <f>+GETPIVOTDATA("Undergrad Student Credit Hour FTE - New",'FTE Pivot for regular counts'!$A$2,"State","AL","Category2","Four-Year")</f>
        <v>107248.99999999999</v>
      </c>
      <c r="O11" s="305">
        <f>+GETPIVOTDATA("Sum of New-HS % of Total",'Pivot-HS Student % of Undergrad'!$A$3,"State","AL","Category2","Group1")</f>
        <v>0</v>
      </c>
      <c r="Q11" s="1" t="s">
        <v>421</v>
      </c>
      <c r="R11" s="359">
        <f>+GETPIVOTDATA("Sum of Old-HS % of Total",'Pivot-HS Student % of Undergrad'!$A$3,"State","AL","Category",1,"Category2","Four-Year")</f>
        <v>0</v>
      </c>
      <c r="S11" s="393">
        <f>+'Pivot-HS Student % of Undergrad'!Z12*100</f>
        <v>0</v>
      </c>
      <c r="T11" s="402">
        <f>+GETPIVOTDATA("Sum of Old-HS % of Total",'Pivot-HS Student % of Undergrad'!$A$3,"State","AL","Category",2,"Category2","Four-Year")</f>
        <v>0</v>
      </c>
      <c r="U11" s="393" t="e">
        <f>+'Pivot-HS Student % of Undergrad'!AA12*100</f>
        <v>#VALUE!</v>
      </c>
      <c r="V11" s="402">
        <f>+GETPIVOTDATA("Sum of Old-HS % of Total",'Pivot-HS Student % of Undergrad'!$A$3,"State","AL","Category",4,"Category2","Four-Year")</f>
        <v>0</v>
      </c>
      <c r="W11" s="393" t="e">
        <f>+'Pivot-HS Student % of Undergrad'!AB12*100</f>
        <v>#VALUE!</v>
      </c>
      <c r="X11" s="402">
        <f>+GETPIVOTDATA("Sum of Old-HS % of Total",'Pivot-HS Student % of Undergrad'!$A$3,"State","AL","Category",4,"Category2","Four-Year")</f>
        <v>0</v>
      </c>
      <c r="Y11" s="393" t="e">
        <f>+'Pivot-HS Student % of Undergrad'!AC12*100</f>
        <v>#VALUE!</v>
      </c>
      <c r="Z11" s="402">
        <f>+GETPIVOTDATA("Sum of Old-HS % of Total",'Pivot-HS Student % of Undergrad'!$A$3,"State","AL","Category",5,"Category2","Four-Year")</f>
        <v>0</v>
      </c>
      <c r="AA11" s="393" t="e">
        <f>+'Pivot-HS Student % of Undergrad'!AD12*100</f>
        <v>#VALUE!</v>
      </c>
      <c r="AB11" s="402">
        <f>+GETPIVOTDATA("Sum of Old-HS % of Total",'Pivot-HS Student % of Undergrad'!$A$3,"State","AL","Category",6,"Category2","Four-Year")</f>
        <v>0</v>
      </c>
      <c r="AC11" s="393" t="e">
        <f>+'Pivot-HS Student % of Undergrad'!AE12*100</f>
        <v>#VALUE!</v>
      </c>
      <c r="AD11" s="402">
        <f>+GETPIVOTDATA("Sum of Old-HS % of Total",'Pivot-HS Student % of Undergrad'!$A$3,"State","AL","Category2","Four-Year")</f>
        <v>0</v>
      </c>
      <c r="AE11" s="393" t="e">
        <f>+'Pivot-HS Student % of Undergrad'!AE12*100</f>
        <v>#VALUE!</v>
      </c>
    </row>
    <row r="12" spans="1:31" ht="15" customHeight="1">
      <c r="A12" s="4" t="s">
        <v>422</v>
      </c>
      <c r="B12" s="5">
        <f>+GETPIVOTDATA("Undergrad Student Credit Hour FTE - New",'FTE Pivot for regular counts'!$A$2,"State","AR","Category",1,"Category2","Four-Year")</f>
        <v>14696.566666666668</v>
      </c>
      <c r="C12" s="360">
        <f>+GETPIVOTDATA("Sum of New-HS % of Total",'Pivot-HS Student % of Undergrad'!$A$3,"State","AR","Category",1,"Category2","Four-Year")</f>
        <v>2.2454224002431406E-4</v>
      </c>
      <c r="D12" s="331">
        <f>+GETPIVOTDATA("Undergrad Student Credit Hour FTE - New",'FTE Pivot for regular counts'!$A$2,"State","AR","Category",2,"Category2","Four-Year")</f>
        <v>0</v>
      </c>
      <c r="E12" s="305">
        <f>+GETPIVOTDATA("Sum of New-HS % of Total",'Pivot-HS Student % of Undergrad'!$A$3,"State","AR","Category",2,"Category2","Four-Year")</f>
        <v>0</v>
      </c>
      <c r="F12" s="331">
        <f>+GETPIVOTDATA("Undergrad Student Credit Hour FTE - New",'FTE Pivot for regular counts'!$A$2,"State","AR","Category",3,"Category2","Four-Year")</f>
        <v>25810.6</v>
      </c>
      <c r="G12" s="305">
        <f>+GETPIVOTDATA("Sum of New-HS % of Total",'Pivot-HS Student % of Undergrad'!$A$3,"State","AR","Category",3,"Category2","Four-Year")</f>
        <v>2.795363145374381E-2</v>
      </c>
      <c r="H12" s="331">
        <f>+GETPIVOTDATA("Undergrad Student Credit Hour FTE - New",'FTE Pivot for regular counts'!$A$2,"State","AR","Category",4,"Category2","Four-Year")</f>
        <v>9191.2666666666664</v>
      </c>
      <c r="I12" s="305">
        <f>+GETPIVOTDATA("Sum of New-HS % of Total",'Pivot-HS Student % of Undergrad'!$A$3,"State","AR","Category",4,"Category2","Four-Year")</f>
        <v>1.4735002067179714E-2</v>
      </c>
      <c r="J12" s="331">
        <f>+GETPIVOTDATA("Undergrad Student Credit Hour FTE - New",'FTE Pivot for regular counts'!$A$2,"State","AR","Category",5,"Category2","Four-Year")</f>
        <v>4788.1000000000004</v>
      </c>
      <c r="K12" s="305">
        <f>+GETPIVOTDATA("Sum of New-HS % of Total",'Pivot-HS Student % of Undergrad'!$A$3,"State","AR","Category",5,"Category2","Four-Year")</f>
        <v>2.7331648601045647E-2</v>
      </c>
      <c r="L12" s="331">
        <f>+GETPIVOTDATA("Undergrad Student Credit Hour FTE - New",'FTE Pivot for regular counts'!$A$2,"State","AR","Category",6,"Category2","Four-Year")</f>
        <v>9115.7666666666664</v>
      </c>
      <c r="M12" s="305">
        <f>+GETPIVOTDATA("Sum of New-HS % of Total",'Pivot-HS Student % of Undergrad'!$A$3,"State","AR","Category",6,"Category2","Four-Year")</f>
        <v>2.8185597846953812E-2</v>
      </c>
      <c r="N12" s="331">
        <f>+GETPIVOTDATA("Undergrad Student Credit Hour FTE - New",'FTE Pivot for regular counts'!$A$2,"State","AR","Category2","Four-Year")</f>
        <v>63602.3</v>
      </c>
      <c r="O12" s="305">
        <f>+GETPIVOTDATA("Sum of New-HS % of Total",'Pivot-HS Student % of Undergrad'!$A$3,"State","AR","Category2","Group1")</f>
        <v>1.9622456001329093E-2</v>
      </c>
      <c r="Q12" s="4" t="s">
        <v>422</v>
      </c>
      <c r="R12" s="414">
        <f>+GETPIVOTDATA("Sum of Old-HS % of Total",'Pivot-HS Student % of Undergrad'!$A$3,"State","AR","Category",1,"Category2","Four-Year")</f>
        <v>2.3573345781304704E-4</v>
      </c>
      <c r="S12" s="394">
        <f>+'Pivot-HS Student % of Undergrad'!Z19*100</f>
        <v>0</v>
      </c>
      <c r="T12" s="402">
        <f>+GETPIVOTDATA("Sum of Old-HS % of Total",'Pivot-HS Student % of Undergrad'!$A$3,"State","AR","Category",2,"Category2","Four-Year")</f>
        <v>0</v>
      </c>
      <c r="U12" s="393" t="e">
        <f>+'Pivot-HS Student % of Undergrad'!AA19*100</f>
        <v>#VALUE!</v>
      </c>
      <c r="V12" s="402">
        <f>+GETPIVOTDATA("Sum of Old-HS % of Total",'Pivot-HS Student % of Undergrad'!$A$3,"State","AR","Category",3,"Category2","Four-Year")</f>
        <v>2.5497741472448047E-2</v>
      </c>
      <c r="W12" s="393">
        <f>+'Pivot-HS Student % of Undergrad'!AB19*100</f>
        <v>0.24558899812957627</v>
      </c>
      <c r="X12" s="402">
        <f>+GETPIVOTDATA("Sum of Old-HS % of Total",'Pivot-HS Student % of Undergrad'!$A$3,"State","AR","Category",4,"Category2","Four-Year")</f>
        <v>9.5084730027921987E-3</v>
      </c>
      <c r="Y12" s="393">
        <f>+'Pivot-HS Student % of Undergrad'!AC19*100</f>
        <v>0.52265290643875151</v>
      </c>
      <c r="Z12" s="402">
        <f>+GETPIVOTDATA("Sum of Old-HS % of Total",'Pivot-HS Student % of Undergrad'!$A$3,"State","AR","Category",5,"Category2","Four-Year")</f>
        <v>2.7029649177274139E-2</v>
      </c>
      <c r="AA12" s="393">
        <f>+'Pivot-HS Student % of Undergrad'!AD19*100</f>
        <v>3.0199942377150818E-2</v>
      </c>
      <c r="AB12" s="402">
        <f>+GETPIVOTDATA("Sum of Old-HS % of Total",'Pivot-HS Student % of Undergrad'!$A$3,"State","AR","Category",6,"Category2","Four-Year")</f>
        <v>2.9185922927190439E-2</v>
      </c>
      <c r="AC12" s="393">
        <f>+'Pivot-HS Student % of Undergrad'!AE19*100</f>
        <v>-0.10003250802366262</v>
      </c>
      <c r="AD12" s="402">
        <f>+GETPIVOTDATA("Sum of Old-HS % of Total",'Pivot-HS Student % of Undergrad'!$A$3,"State","AR","Category2","Four-Year")</f>
        <v>1.7988465881508126E-2</v>
      </c>
      <c r="AE12" s="393">
        <f>+'Pivot-HS Student % of Undergrad'!AF19*100</f>
        <v>0.16339901198209675</v>
      </c>
    </row>
    <row r="13" spans="1:31" ht="15" customHeight="1">
      <c r="A13" s="1" t="s">
        <v>459</v>
      </c>
      <c r="B13" s="5">
        <f>+GETPIVOTDATA("Undergrad Student Credit Hour FTE - New",'FTE Pivot for regular counts'!$A$2,"State","DE","Category",1,"Category2","Four-Year")</f>
        <v>17132.5</v>
      </c>
      <c r="C13" s="305">
        <f>+GETPIVOTDATA("Sum of New-HS % of Total",'Pivot-HS Student % of Undergrad'!$A$3,"State","DE","Category",1,"Category2","Four-Year")</f>
        <v>6.3621771486940023E-4</v>
      </c>
      <c r="D13" s="331">
        <f>+GETPIVOTDATA("Undergrad Student Credit Hour FTE - New",'FTE Pivot for regular counts'!$A$2,"State","DE","Category",2,"Category2","Four-Year")</f>
        <v>0</v>
      </c>
      <c r="E13" s="305">
        <f>+GETPIVOTDATA("Sum of New-HS % of Total",'Pivot-HS Student % of Undergrad'!$A$3,"State","DE","Category",2,"Category2","Four-Year")</f>
        <v>0</v>
      </c>
      <c r="F13" s="331">
        <f>+GETPIVOTDATA("Undergrad Student Credit Hour FTE - New",'FTE Pivot for regular counts'!$A$2,"State","DE","Category",3,"Category2","Four-Year")</f>
        <v>0</v>
      </c>
      <c r="G13" s="305">
        <f>+GETPIVOTDATA("Sum of New-HS % of Total",'Pivot-HS Student % of Undergrad'!$A$3,"State","DE","Category",3,"Category2","Four-Year")</f>
        <v>0</v>
      </c>
      <c r="H13" s="331">
        <f>+GETPIVOTDATA("Undergrad Student Credit Hour FTE - New",'FTE Pivot for regular counts'!$A$2,"State","DE","Category",4,"Category2","Four-Year")</f>
        <v>3114.2666666666669</v>
      </c>
      <c r="I13" s="305">
        <f>+GETPIVOTDATA("Sum of New-HS % of Total",'Pivot-HS Student % of Undergrad'!$A$3,"State","FL","Category",4,"Category2","Four-Year")</f>
        <v>7.9773068418419225E-3</v>
      </c>
      <c r="J13" s="331">
        <f>+GETPIVOTDATA("Undergrad Student Credit Hour FTE - New",'FTE Pivot for regular counts'!$A$2,"State","DE","Category",5,"Category2","Four-Year")</f>
        <v>0</v>
      </c>
      <c r="K13" s="305">
        <f>+GETPIVOTDATA("Sum of New-HS % of Total",'Pivot-HS Student % of Undergrad'!$A$3,"State","FL","Category",5,"Category2","Four-Year")</f>
        <v>0</v>
      </c>
      <c r="L13" s="331">
        <f>+GETPIVOTDATA("Undergrad Student Credit Hour FTE - New",'FTE Pivot for regular counts'!$A$2,"State","DE","Category",6,"Category2","Four-Year")</f>
        <v>0</v>
      </c>
      <c r="M13" s="305">
        <f>+GETPIVOTDATA("Sum of New-HS % of Total",'Pivot-HS Student % of Undergrad'!$A$3,"State","FL","Category",6,"Category2","Four-Year")</f>
        <v>2.0091848450057405E-3</v>
      </c>
      <c r="N13" s="331">
        <f>+GETPIVOTDATA("Undergrad Student Credit Hour FTE - New",'FTE Pivot for regular counts'!$A$2,"State","DE","Category2","Four-Year")</f>
        <v>20246.766666666666</v>
      </c>
      <c r="O13" s="305">
        <f>+GETPIVOTDATA("Sum of New-HS % of Total",'Pivot-HS Student % of Undergrad'!$A$3,"State","DE","Category2","Group1")</f>
        <v>7.655543354247509E-4</v>
      </c>
      <c r="Q13" s="1" t="s">
        <v>459</v>
      </c>
      <c r="R13" s="359">
        <f>+GETPIVOTDATA("Sum of Old-HS % of Total",'Pivot-HS Student % of Undergrad'!$A$3,"State","DE","Category",1,"Category2","Four-Year")</f>
        <v>5.4047847193075538E-4</v>
      </c>
      <c r="S13" s="393">
        <f>+'Pivot-HS Student % of Undergrad'!Z26*100</f>
        <v>0</v>
      </c>
      <c r="T13" s="402">
        <f>+GETPIVOTDATA("Sum of Old-HS % of Total",'Pivot-HS Student % of Undergrad'!$A$3,"State","DE","Category",2,"Category2","Four-Year")</f>
        <v>0</v>
      </c>
      <c r="U13" s="393" t="e">
        <f>+'Pivot-HS Student % of Undergrad'!AA26*100</f>
        <v>#VALUE!</v>
      </c>
      <c r="V13" s="402">
        <f>+GETPIVOTDATA("Sum of Old-HS % of Total",'Pivot-HS Student % of Undergrad'!$A$3,"State","DE","Category",3,"Category2","Four-Year")</f>
        <v>0</v>
      </c>
      <c r="W13" s="393" t="e">
        <f>+'Pivot-HS Student % of Undergrad'!AB26*100</f>
        <v>#VALUE!</v>
      </c>
      <c r="X13" s="402">
        <f>+GETPIVOTDATA("Sum of Old-HS % of Total",'Pivot-HS Student % of Undergrad'!$A$3,"State","DE","Category",4,"Category2","Four-Year")</f>
        <v>0</v>
      </c>
      <c r="Y13" s="393" t="e">
        <f>+'Pivot-HS Student % of Undergrad'!AC26*100</f>
        <v>#VALUE!</v>
      </c>
      <c r="Z13" s="402">
        <f>+GETPIVOTDATA("Sum of Old-HS % of Total",'Pivot-HS Student % of Undergrad'!$A$3,"State","DE","Category",5,"Category2","Four-Year")</f>
        <v>0</v>
      </c>
      <c r="AA13" s="393" t="e">
        <f>+'Pivot-HS Student % of Undergrad'!AD26*100</f>
        <v>#VALUE!</v>
      </c>
      <c r="AB13" s="402">
        <f>+GETPIVOTDATA("Sum of Old-HS % of Total",'Pivot-HS Student % of Undergrad'!$A$3,"State","DE","Category",6,"Category2","Four-Year")</f>
        <v>0</v>
      </c>
      <c r="AC13" s="393" t="e">
        <f>+'Pivot-HS Student % of Undergrad'!AE26*100</f>
        <v>#VALUE!</v>
      </c>
      <c r="AD13" s="402">
        <f>+GETPIVOTDATA("Sum of Old-HS % of Total",'Pivot-HS Student % of Undergrad'!$A$3,"State","DE","Category2","Four-Year")</f>
        <v>4.5407746594834826E-4</v>
      </c>
      <c r="AE13" s="393">
        <f>+'Pivot-HS Student % of Undergrad'!AF26*100</f>
        <v>3.1147686947640266E-2</v>
      </c>
    </row>
    <row r="14" spans="1:31" ht="15" customHeight="1">
      <c r="A14" s="1" t="s">
        <v>423</v>
      </c>
      <c r="B14" s="5">
        <f>+GETPIVOTDATA("Undergrad Student Credit Hour FTE - New",'FTE Pivot for regular counts'!$A$2,"State","FL","Category",1,"Category2","Four-Year")</f>
        <v>166580.96666666667</v>
      </c>
      <c r="C14" s="305">
        <f>+GETPIVOTDATA("Sum of New-HS % of Total",'Pivot-HS Student % of Undergrad'!$A$3,"State","FL","Category",1,"Category2","Four-Year")</f>
        <v>7.202703630206652E-3</v>
      </c>
      <c r="D14" s="331">
        <f>+GETPIVOTDATA("Undergrad Student Credit Hour FTE - New",'FTE Pivot for regular counts'!$A$2,"State","FL","Category",2,"Category2","Four-Year")</f>
        <v>17968.466666666667</v>
      </c>
      <c r="E14" s="305">
        <f>+GETPIVOTDATA("Sum of New-HS % of Total",'Pivot-HS Student % of Undergrad'!$A$3,"State","FL","Category",2,"Category2","Four-Year")</f>
        <v>8.1772883607208191E-3</v>
      </c>
      <c r="F14" s="331">
        <f>+GETPIVOTDATA("Undergrad Student Credit Hour FTE - New",'FTE Pivot for regular counts'!$A$2,"State","FL","Category",3,"Category2","Four-Year")</f>
        <v>30172.233333333334</v>
      </c>
      <c r="G14" s="305">
        <f>+GETPIVOTDATA("Sum of New-HS % of Total",'Pivot-HS Student % of Undergrad'!$A$3,"State","FL","Category",3,"Category2","Four-Year")</f>
        <v>1.0717359338111089E-2</v>
      </c>
      <c r="H14" s="331">
        <f>+GETPIVOTDATA("Undergrad Student Credit Hour FTE - New",'FTE Pivot for regular counts'!$A$2,"State","FL","Category",4,"Category2","Four-Year")</f>
        <v>8260.9333333333325</v>
      </c>
      <c r="I14" s="305">
        <f>+GETPIVOTDATA("Sum of New-HS % of Total",'Pivot-HS Student % of Undergrad'!$A$3,"State","FL","Category",4,"Category2","Four-Year")</f>
        <v>7.9773068418419225E-3</v>
      </c>
      <c r="J14" s="331">
        <f>+GETPIVOTDATA("Undergrad Student Credit Hour FTE - New",'FTE Pivot for regular counts'!$A$2,"State","FL","Category",5,"Category2","Four-Year")</f>
        <v>0</v>
      </c>
      <c r="K14" s="305">
        <f>+GETPIVOTDATA("Sum of New-HS % of Total",'Pivot-HS Student % of Undergrad'!$A$3,"State","FL","Category",5,"Category2","Four-Year")</f>
        <v>0</v>
      </c>
      <c r="L14" s="331">
        <f>+GETPIVOTDATA("Undergrad Student Credit Hour FTE - New",'FTE Pivot for regular counts'!$A$2,"State","FL","Category",6,"Category2","Four-Year")</f>
        <v>929.06666666666672</v>
      </c>
      <c r="M14" s="305">
        <f>+GETPIVOTDATA("Sum of New-HS % of Total",'Pivot-HS Student % of Undergrad'!$A$3,"State","FL","Category",6,"Category2","Four-Year")</f>
        <v>2.0091848450057405E-3</v>
      </c>
      <c r="N14" s="331">
        <f>+GETPIVOTDATA("Undergrad Student Credit Hour FTE - New",'FTE Pivot for regular counts'!$A$2,"State","FL","Category2","Four-Year")</f>
        <v>223911.66666666669</v>
      </c>
      <c r="O14" s="305">
        <f>+GETPIVOTDATA("Sum of New-HS % of Total",'Pivot-HS Student % of Undergrad'!$A$3,"State","FL","Category2","Group1")</f>
        <v>7.7615428703283291E-3</v>
      </c>
      <c r="Q14" s="1" t="s">
        <v>423</v>
      </c>
      <c r="R14" s="359">
        <f>+GETPIVOTDATA("Sum of Old-HS % of Total",'Pivot-HS Student % of Undergrad'!$A$3,"State","FL","Category",1,"Category2","Four-Year")</f>
        <v>6.2111562955574308E-3</v>
      </c>
      <c r="S14" s="394">
        <f>+'Pivot-HS Student % of Undergrad'!Z33*100</f>
        <v>0</v>
      </c>
      <c r="T14" s="402">
        <f>+GETPIVOTDATA("Sum of Old-HS % of Total",'Pivot-HS Student % of Undergrad'!$A$3,"State","FL","Category",2,"Category2","Four-Year")</f>
        <v>7.5717040760942787E-3</v>
      </c>
      <c r="U14" s="393">
        <f>+'Pivot-HS Student % of Undergrad'!AA33*100</f>
        <v>6.0558428462654038E-2</v>
      </c>
      <c r="V14" s="402">
        <f>+GETPIVOTDATA("Sum of Old-HS % of Total",'Pivot-HS Student % of Undergrad'!$A$3,"State","FL","Category",3,"Category2","Four-Year")</f>
        <v>1.2746742936930648E-2</v>
      </c>
      <c r="W14" s="406">
        <f>+'Pivot-HS Student % of Undergrad'!AB33*100</f>
        <v>-0.20293835988195591</v>
      </c>
      <c r="X14" s="402">
        <f>+GETPIVOTDATA("Sum of Old-HS % of Total",'Pivot-HS Student % of Undergrad'!$A$3,"State","FL","Category",4,"Category2","Four-Year")</f>
        <v>7.4418397758106844E-3</v>
      </c>
      <c r="Y14" s="394">
        <f>+'Pivot-HS Student % of Undergrad'!AC33*100</f>
        <v>5.3546706603123814E-2</v>
      </c>
      <c r="Z14" s="402">
        <f>+GETPIVOTDATA("Sum of Old-HS % of Total",'Pivot-HS Student % of Undergrad'!$A$3,"State","FL","Category",5,"Category2","Four-Year")</f>
        <v>0</v>
      </c>
      <c r="AA14" s="394" t="e">
        <f>+'Pivot-HS Student % of Undergrad'!AD33*100</f>
        <v>#VALUE!</v>
      </c>
      <c r="AB14" s="402">
        <f>+GETPIVOTDATA("Sum of Old-HS % of Total",'Pivot-HS Student % of Undergrad'!$A$3,"State","FL","Category",6,"Category2","Four-Year")</f>
        <v>2.5233783583197269E-3</v>
      </c>
      <c r="AC14" s="394">
        <f>+'Pivot-HS Student % of Undergrad'!AE33*100</f>
        <v>-5.141935133139864E-2</v>
      </c>
      <c r="AD14" s="402">
        <f>+GETPIVOTDATA("Sum of Old-HS % of Total",'Pivot-HS Student % of Undergrad'!$A$3,"State","FL","Category2","Four-Year")</f>
        <v>7.2226976252334034E-3</v>
      </c>
      <c r="AE14" s="394">
        <f>+'Pivot-HS Student % of Undergrad'!AF33*100</f>
        <v>5.3884524509492576E-2</v>
      </c>
    </row>
    <row r="15" spans="1:31" ht="10.5" customHeight="1">
      <c r="B15" s="5"/>
      <c r="C15" s="305"/>
      <c r="D15" s="331"/>
      <c r="E15" s="305"/>
      <c r="F15" s="331"/>
      <c r="G15" s="305"/>
      <c r="H15" s="331"/>
      <c r="I15" s="305"/>
      <c r="J15" s="331"/>
      <c r="K15" s="305"/>
      <c r="L15" s="331"/>
      <c r="M15" s="305"/>
      <c r="N15" s="331"/>
      <c r="O15" s="305"/>
      <c r="R15" s="359"/>
      <c r="S15" s="394"/>
      <c r="T15" s="402"/>
      <c r="U15" s="393"/>
      <c r="V15" s="402"/>
      <c r="W15" s="406"/>
      <c r="X15" s="402"/>
      <c r="Y15" s="394"/>
      <c r="Z15" s="402"/>
      <c r="AA15" s="394"/>
      <c r="AB15" s="402"/>
      <c r="AC15" s="394"/>
      <c r="AD15" s="402"/>
      <c r="AE15" s="394"/>
    </row>
    <row r="16" spans="1:31" ht="15" customHeight="1">
      <c r="A16" s="1" t="s">
        <v>424</v>
      </c>
      <c r="B16" s="5">
        <f>+GETPIVOTDATA("Undergrad Student Credit Hour FTE - New",'FTE Pivot for regular counts'!$A$2,"State","GA","Category",1,"Category2","Four-Year")</f>
        <v>45192.566666666666</v>
      </c>
      <c r="C16" s="305">
        <f>+GETPIVOTDATA("Sum of New-HS % of Total",'Pivot-HS Student % of Undergrad'!$A$3,"State","GA","Category",1,"Category2","Four-Year")</f>
        <v>1.7123022443956491E-3</v>
      </c>
      <c r="D16" s="331">
        <f>+GETPIVOTDATA("Undergrad Student Credit Hour FTE - New",'FTE Pivot for regular counts'!$A$2,"State","GA","Category",2,"Category2","Four-Year")</f>
        <v>13265.433333333332</v>
      </c>
      <c r="E16" s="305">
        <f>+GETPIVOTDATA("Sum of New-HS % of Total",'Pivot-HS Student % of Undergrad'!$A$3,"State","GA","Category",2,"Category2","Four-Year")</f>
        <v>4.565751087412649E-3</v>
      </c>
      <c r="F16" s="331">
        <f>+GETPIVOTDATA("Undergrad Student Credit Hour FTE - New",'FTE Pivot for regular counts'!$A$2,"State","GA","Category",3,"Category2","Four-Year")</f>
        <v>33745.933333333334</v>
      </c>
      <c r="G16" s="305">
        <f>+GETPIVOTDATA("Sum of New-HS % of Total",'Pivot-HS Student % of Undergrad'!$A$3,"State","GA","Category",3,"Category2","Four-Year")</f>
        <v>4.6889600524705199E-3</v>
      </c>
      <c r="H16" s="331">
        <f>+GETPIVOTDATA("Undergrad Student Credit Hour FTE - New",'FTE Pivot for regular counts'!$A$2,"State","GA","Category",4,"Category2","Four-Year")</f>
        <v>38832.466666666667</v>
      </c>
      <c r="I16" s="305">
        <f>+GETPIVOTDATA("Sum of New-HS % of Total",'Pivot-HS Student % of Undergrad'!$A$3,"State","GA","Category",4,"Category2","Four-Year")</f>
        <v>4.0404335204047475E-3</v>
      </c>
      <c r="J16" s="331">
        <f>+GETPIVOTDATA("Undergrad Student Credit Hour FTE - New",'FTE Pivot for regular counts'!$A$2,"State","GA","Category",5,"Category2","Four-Year")</f>
        <v>18265.599999999999</v>
      </c>
      <c r="K16" s="305">
        <f>+GETPIVOTDATA("Sum of New-HS % of Total",'Pivot-HS Student % of Undergrad'!$A$3,"State","GA","Category",5,"Category2","Four-Year")</f>
        <v>3.7666433076384022E-3</v>
      </c>
      <c r="L16" s="331">
        <f>+GETPIVOTDATA("Undergrad Student Credit Hour FTE - New",'FTE Pivot for regular counts'!$A$2,"State","GA","Category",6,"Category2","Four-Year")</f>
        <v>10455.833333333332</v>
      </c>
      <c r="M16" s="305">
        <f>+GETPIVOTDATA("Sum of New-HS % of Total",'Pivot-HS Student % of Undergrad'!$A$3,"State","GA","Category",6,"Category2","Four-Year")</f>
        <v>1.2716984139634973E-2</v>
      </c>
      <c r="N16" s="331">
        <f>+GETPIVOTDATA("Undergrad Student Credit Hour FTE - New",'FTE Pivot for regular counts'!$A$2,"State","GA","Category2","Four-Year")</f>
        <v>159757.83333333334</v>
      </c>
      <c r="O16" s="305">
        <f>+GETPIVOTDATA("Sum of New-HS % of Total",'Pivot-HS Student % of Undergrad'!$A$3,"State","GA","Category2","Group1")</f>
        <v>4.0990165323140128E-3</v>
      </c>
      <c r="Q16" s="1" t="s">
        <v>424</v>
      </c>
      <c r="R16" s="359">
        <f>+GETPIVOTDATA("Sum of Old-HS % of Total",'Pivot-HS Student % of Undergrad'!$A$3,"State","GA","Category",1,"Category2","Four-Year")</f>
        <v>1.6439971224657677E-3</v>
      </c>
      <c r="S16" s="393">
        <f>+'Pivot-HS Student % of Undergrad'!Z40*100</f>
        <v>0</v>
      </c>
      <c r="T16" s="402">
        <f>+GETPIVOTDATA("Sum of Old-HS % of Total",'Pivot-HS Student % of Undergrad'!$A$3,"State","GA","Category",2,"Category2","Four-Year")</f>
        <v>3.052954312395567E-3</v>
      </c>
      <c r="U16" s="393">
        <f>+'Pivot-HS Student % of Undergrad'!AA40*100</f>
        <v>0.1512796775017082</v>
      </c>
      <c r="V16" s="402">
        <f>+GETPIVOTDATA("Sum of Old-HS % of Total",'Pivot-HS Student % of Undergrad'!$A$3,"State","GA","Category",3,"Category2","Four-Year")</f>
        <v>5.2165847171716344E-3</v>
      </c>
      <c r="W16" s="393">
        <f>+'Pivot-HS Student % of Undergrad'!AB40*100</f>
        <v>-5.2762466470111444E-2</v>
      </c>
      <c r="X16" s="402">
        <f>+GETPIVOTDATA("Sum of Old-HS % of Total",'Pivot-HS Student % of Undergrad'!$A$3,"State","GA","Category",4,"Category2","Four-Year")</f>
        <v>3.7763131417425E-3</v>
      </c>
      <c r="Y16" s="393">
        <f>+'Pivot-HS Student % of Undergrad'!AC40*100</f>
        <v>2.6412037866224744E-2</v>
      </c>
      <c r="Z16" s="402">
        <f>+GETPIVOTDATA("Sum of Old-HS % of Total",'Pivot-HS Student % of Undergrad'!$A$3,"State","GA","Category",5,"Category2","Four-Year")</f>
        <v>3.2596685082872928E-3</v>
      </c>
      <c r="AA16" s="393">
        <f>+'Pivot-HS Student % of Undergrad'!AD40*100</f>
        <v>5.0697479935110951E-2</v>
      </c>
      <c r="AB16" s="402">
        <f>+GETPIVOTDATA("Sum of Old-HS % of Total",'Pivot-HS Student % of Undergrad'!$A$3,"State","GA","Category",6,"Category2","Four-Year")</f>
        <v>1.1489543262718751E-2</v>
      </c>
      <c r="AC16" s="393">
        <f>+'Pivot-HS Student % of Undergrad'!AE40*100</f>
        <v>0.12274408769162218</v>
      </c>
      <c r="AD16" s="402">
        <f>+GETPIVOTDATA("Sum of Old-HS % of Total",'Pivot-HS Student % of Undergrad'!$A$3,"State","GA","Category2","Four-Year")</f>
        <v>3.8583201331724788E-3</v>
      </c>
      <c r="AE16" s="393">
        <f>+'Pivot-HS Student % of Undergrad'!AF40*100</f>
        <v>2.4069639914153396E-2</v>
      </c>
    </row>
    <row r="17" spans="1:31" ht="15" customHeight="1">
      <c r="A17" s="1" t="s">
        <v>425</v>
      </c>
      <c r="B17" s="5">
        <f>+GETPIVOTDATA("Undergrad Student Credit Hour FTE - New",'FTE Pivot for regular counts'!$A$2,"State","KY","Category",1,"Category2","Four-Year")</f>
        <v>30371.766666666666</v>
      </c>
      <c r="C17" s="305">
        <f>+GETPIVOTDATA("Sum of New-HS % of Total",'Pivot-HS Student % of Undergrad'!$A$3,"State","KY","Category",1,"Category2","Four-Year")</f>
        <v>1.4739566241893513E-3</v>
      </c>
      <c r="D17" s="331">
        <f>+GETPIVOTDATA("Undergrad Student Credit Hour FTE - New",'FTE Pivot for regular counts'!$A$2,"State","KY","Category",2,"Category2","Four-Year")</f>
        <v>0</v>
      </c>
      <c r="E17" s="305">
        <f>+GETPIVOTDATA("Sum of New-HS % of Total",'Pivot-HS Student % of Undergrad'!$A$3,"State","KY","Category",2,"Category2","Four-Year")</f>
        <v>0</v>
      </c>
      <c r="F17" s="331">
        <f>+GETPIVOTDATA("Undergrad Student Credit Hour FTE - New",'FTE Pivot for regular counts'!$A$2,"State","KY","Category",3,"Category2","Four-Year")</f>
        <v>34919.1</v>
      </c>
      <c r="G17" s="305">
        <f>+GETPIVOTDATA("Sum of New-HS % of Total",'Pivot-HS Student % of Undergrad'!$A$3,"State","KY","Category",3,"Category2","Four-Year")</f>
        <v>1.4057254243856992E-2</v>
      </c>
      <c r="H17" s="331">
        <f>+GETPIVOTDATA("Undergrad Student Credit Hour FTE - New",'FTE Pivot for regular counts'!$A$2,"State","KY","Category",4,"Category2","Four-Year")</f>
        <v>17192.533333333333</v>
      </c>
      <c r="I17" s="305">
        <f>+GETPIVOTDATA("Sum of New-HS % of Total",'Pivot-HS Student % of Undergrad'!$A$3,"State","KY","Category",4,"Category2","Four-Year")</f>
        <v>1.1543770939322497E-2</v>
      </c>
      <c r="J17" s="331">
        <f>+GETPIVOTDATA("Undergrad Student Credit Hour FTE - New",'FTE Pivot for regular counts'!$A$2,"State","KY","Category",5,"Category2","Four-Year")</f>
        <v>2106</v>
      </c>
      <c r="K17" s="305">
        <f>+GETPIVOTDATA("Sum of New-HS % of Total",'Pivot-HS Student % of Undergrad'!$A$3,"State","KY","Category",5,"Category2","Four-Year")</f>
        <v>5.2548274770496993E-3</v>
      </c>
      <c r="L17" s="331">
        <f>+GETPIVOTDATA("Undergrad Student Credit Hour FTE - New",'FTE Pivot for regular counts'!$A$2,"State","KY","Category",6,"Category2","Four-Year")</f>
        <v>0</v>
      </c>
      <c r="M17" s="305">
        <f>+GETPIVOTDATA("Sum of New-HS % of Total",'Pivot-HS Student % of Undergrad'!$A$3,"State","KY","Category",6,"Category2","Four-Year")</f>
        <v>0</v>
      </c>
      <c r="N17" s="331">
        <f>+GETPIVOTDATA("Undergrad Student Credit Hour FTE - New",'FTE Pivot for regular counts'!$A$2,"State","KY","Category2","Four-Year")</f>
        <v>84589.4</v>
      </c>
      <c r="O17" s="305">
        <f>+GETPIVOTDATA("Sum of New-HS % of Total",'Pivot-HS Student % of Undergrad'!$A$3,"State","KY","Category2","Group1")</f>
        <v>8.8092203830109524E-3</v>
      </c>
      <c r="Q17" s="1" t="s">
        <v>425</v>
      </c>
      <c r="R17" s="359">
        <f>+GETPIVOTDATA("Sum of Old-HS % of Total",'Pivot-HS Student % of Undergrad'!$A$3,"State","KY","Category",1,"Category2","Four-Year")</f>
        <v>1.2076705917807491E-3</v>
      </c>
      <c r="S17" s="394">
        <f>+'Pivot-HS Student % of Undergrad'!Z47*100</f>
        <v>0</v>
      </c>
      <c r="T17" s="402">
        <f>+GETPIVOTDATA("Sum of Old-HS % of Total",'Pivot-HS Student % of Undergrad'!$A$3,"State","KY","Category",2,"Category2","Four-Year")</f>
        <v>0</v>
      </c>
      <c r="U17" s="393" t="e">
        <f>+'Pivot-HS Student % of Undergrad'!AA47*100</f>
        <v>#VALUE!</v>
      </c>
      <c r="V17" s="402">
        <f>+GETPIVOTDATA("Sum of Old-HS % of Total",'Pivot-HS Student % of Undergrad'!$A$3,"State","KY","Category",3,"Category2","Four-Year")</f>
        <v>1.4252640153722329E-2</v>
      </c>
      <c r="W17" s="393">
        <f>+'Pivot-HS Student % of Undergrad'!AB47*100</f>
        <v>-1.953859098653369E-2</v>
      </c>
      <c r="X17" s="402">
        <f>+GETPIVOTDATA("Sum of Old-HS % of Total",'Pivot-HS Student % of Undergrad'!$A$3,"State","KY","Category",4,"Category2","Four-Year")</f>
        <v>1.1301158270961889E-2</v>
      </c>
      <c r="Y17" s="393">
        <f>+'Pivot-HS Student % of Undergrad'!AC47*100</f>
        <v>2.4261266836060787E-2</v>
      </c>
      <c r="Z17" s="402">
        <f>+GETPIVOTDATA("Sum of Old-HS % of Total",'Pivot-HS Student % of Undergrad'!$A$3,"State","KY","Category",5,"Category2","Four-Year")</f>
        <v>1.6044153510460788E-3</v>
      </c>
      <c r="AA17" s="394">
        <f>+'Pivot-HS Student % of Undergrad'!AD47*100</f>
        <v>0.36504121260036204</v>
      </c>
      <c r="AB17" s="402">
        <f>+GETPIVOTDATA("Sum of Old-HS % of Total",'Pivot-HS Student % of Undergrad'!$A$3,"State","KY","Category",6,"Category2","Four-Year")</f>
        <v>0</v>
      </c>
      <c r="AC17" s="393" t="e">
        <f>+'Pivot-HS Student % of Undergrad'!AE47*100</f>
        <v>#VALUE!</v>
      </c>
      <c r="AD17" s="402">
        <f>+GETPIVOTDATA("Sum of Old-HS % of Total",'Pivot-HS Student % of Undergrad'!$A$3,"State","KY","Category2","Four-Year")</f>
        <v>8.6297904987193367E-3</v>
      </c>
      <c r="AE17" s="393">
        <f>+'Pivot-HS Student % of Undergrad'!AF47*100</f>
        <v>1.7942988429161567E-2</v>
      </c>
    </row>
    <row r="18" spans="1:31" ht="15" customHeight="1">
      <c r="A18" s="1" t="s">
        <v>426</v>
      </c>
      <c r="B18" s="5">
        <f>+GETPIVOTDATA("Undergrad Student Credit Hour FTE - New",'FTE Pivot for regular counts'!$A$2,"State","LA","Category",1,"Category2","Four-Year")</f>
        <v>23768</v>
      </c>
      <c r="C18" s="360">
        <f>+GETPIVOTDATA("Sum of New-HS % of Total",'Pivot-HS Student % of Undergrad'!$A$3,"State","LA","Category",1,"Category2","Four-Year")</f>
        <v>2.6926960619320093E-4</v>
      </c>
      <c r="D18" s="331">
        <f>+GETPIVOTDATA("Undergrad Student Credit Hour FTE - New",'FTE Pivot for regular counts'!$A$2,"State","LA","Category",2,"Category2","Four-Year")</f>
        <v>28459.633333333331</v>
      </c>
      <c r="E18" s="305">
        <f>+GETPIVOTDATA("Sum of New-HS % of Total",'Pivot-HS Student % of Undergrad'!$A$3,"State","LA","Category",2,"Category2","Four-Year")</f>
        <v>7.6576296953931242E-3</v>
      </c>
      <c r="F18" s="331">
        <f>+GETPIVOTDATA("Undergrad Student Credit Hour FTE - New",'FTE Pivot for regular counts'!$A$2,"State","LA","Category",3,"Category2","Four-Year")</f>
        <v>26129.966666666667</v>
      </c>
      <c r="G18" s="305">
        <f>+GETPIVOTDATA("Sum of New-HS % of Total",'Pivot-HS Student % of Undergrad'!$A$3,"State","LA","Category",3,"Category2","Four-Year")</f>
        <v>1.2689134697199511E-2</v>
      </c>
      <c r="H18" s="331">
        <f>+GETPIVOTDATA("Undergrad Student Credit Hour FTE - New",'FTE Pivot for regular counts'!$A$2,"State","LA","Category",4,"Category2","Four-Year")</f>
        <v>30070.533333333329</v>
      </c>
      <c r="I18" s="305">
        <f>+GETPIVOTDATA("Sum of New-HS % of Total",'Pivot-HS Student % of Undergrad'!$A$3,"State","LA","Category",4,"Category2","Four-Year")</f>
        <v>1.7808131105090698E-2</v>
      </c>
      <c r="J18" s="331">
        <f>+GETPIVOTDATA("Undergrad Student Credit Hour FTE - New",'FTE Pivot for regular counts'!$A$2,"State","LA","Category",5,"Category2","Four-Year")</f>
        <v>0</v>
      </c>
      <c r="K18" s="305">
        <f>+GETPIVOTDATA("Sum of New-HS % of Total",'Pivot-HS Student % of Undergrad'!$A$3,"State","LA","Category",5,"Category2","Four-Year")</f>
        <v>0</v>
      </c>
      <c r="L18" s="331">
        <f>+GETPIVOTDATA("Undergrad Student Credit Hour FTE - New",'FTE Pivot for regular counts'!$A$2,"State","LA","Category",6,"Category2","Four-Year")</f>
        <v>0</v>
      </c>
      <c r="M18" s="305">
        <f>+GETPIVOTDATA("Sum of New-HS % of Total",'Pivot-HS Student % of Undergrad'!$A$3,"State","LA","Category",6,"Category2","Four-Year")</f>
        <v>0</v>
      </c>
      <c r="N18" s="331">
        <f>+GETPIVOTDATA("Undergrad Student Credit Hour FTE - New",'FTE Pivot for regular counts'!$A$2,"State","LA","Category2","Four-Year")</f>
        <v>108428.13333333333</v>
      </c>
      <c r="O18" s="305">
        <f>+GETPIVOTDATA("Sum of New-HS % of Total",'Pivot-HS Student % of Undergrad'!$A$3,"State","LA","Category2","Group1")</f>
        <v>1.0065653317527677E-2</v>
      </c>
      <c r="Q18" s="1" t="s">
        <v>426</v>
      </c>
      <c r="R18" s="414">
        <f>+GETPIVOTDATA("Sum of Old-HS % of Total",'Pivot-HS Student % of Undergrad'!$A$3,"State","LA","Category",1,"Category2","Four-Year")</f>
        <v>2.8451644756110825E-4</v>
      </c>
      <c r="S18" s="394">
        <f>+'Pivot-HS Student % of Undergrad'!Z54*100</f>
        <v>0</v>
      </c>
      <c r="T18" s="402">
        <f>+GETPIVOTDATA("Sum of Old-HS % of Total",'Pivot-HS Student % of Undergrad'!$A$3,"State","LA","Category",2,"Category2","Four-Year")</f>
        <v>5.2797141262073124E-3</v>
      </c>
      <c r="U18" s="393">
        <f>+'Pivot-HS Student % of Undergrad'!AA54*100</f>
        <v>0.23779155691858117</v>
      </c>
      <c r="V18" s="402">
        <f>+GETPIVOTDATA("Sum of Old-HS % of Total",'Pivot-HS Student % of Undergrad'!$A$3,"State","LA","Category",3,"Category2","Four-Year")</f>
        <v>1.266052031413924E-2</v>
      </c>
      <c r="W18" s="393">
        <f>+'Pivot-HS Student % of Undergrad'!AB54*100</f>
        <v>2.8614383060270726E-3</v>
      </c>
      <c r="X18" s="402">
        <f>+GETPIVOTDATA("Sum of Old-HS % of Total",'Pivot-HS Student % of Undergrad'!$A$3,"State","LA","Category",4,"Category2","Four-Year")</f>
        <v>1.2370224849615327E-2</v>
      </c>
      <c r="Y18" s="393">
        <f>+'Pivot-HS Student % of Undergrad'!AC54*100</f>
        <v>0.5437906255475371</v>
      </c>
      <c r="Z18" s="402">
        <f>+GETPIVOTDATA("Sum of Old-HS % of Total",'Pivot-HS Student % of Undergrad'!$A$3,"State","LA","Category",5,"Category2","Four-Year")</f>
        <v>0</v>
      </c>
      <c r="AA18" s="393" t="e">
        <f>+'Pivot-HS Student % of Undergrad'!AD54*100</f>
        <v>#VALUE!</v>
      </c>
      <c r="AB18" s="402">
        <f>+GETPIVOTDATA("Sum of Old-HS % of Total",'Pivot-HS Student % of Undergrad'!$A$3,"State","LA","Category",6,"Category2","Four-Year")</f>
        <v>0</v>
      </c>
      <c r="AC18" s="393" t="e">
        <f>+'Pivot-HS Student % of Undergrad'!AE54*100</f>
        <v>#VALUE!</v>
      </c>
      <c r="AD18" s="402">
        <f>+GETPIVOTDATA("Sum of Old-HS % of Total",'Pivot-HS Student % of Undergrad'!$A$3,"State","LA","Category2","Four-Year")</f>
        <v>7.8800135774890669E-3</v>
      </c>
      <c r="AE18" s="393">
        <f>+'Pivot-HS Student % of Undergrad'!AF54*100</f>
        <v>0.21856397400386099</v>
      </c>
    </row>
    <row r="19" spans="1:31" ht="15" customHeight="1">
      <c r="A19" s="1" t="s">
        <v>427</v>
      </c>
      <c r="B19" s="5">
        <f>+GETPIVOTDATA("Undergrad Student Credit Hour FTE - New",'FTE Pivot for regular counts'!$A$2,"State","MD","Category",1,"Category2","Four-Year")</f>
        <v>26384.45</v>
      </c>
      <c r="C19" s="305">
        <f>+GETPIVOTDATA("Sum of New-HS % of Total",'Pivot-HS Student % of Undergrad'!$A$3,"State","MD","Category",1,"Category2","Four-Year")</f>
        <v>0</v>
      </c>
      <c r="D19" s="331">
        <f>+GETPIVOTDATA("Undergrad Student Credit Hour FTE - New",'FTE Pivot for regular counts'!$A$2,"State","MD","Category",2,"Category2","Four-Year")</f>
        <v>9345.4666666666672</v>
      </c>
      <c r="E19" s="305">
        <f>+GETPIVOTDATA("Sum of New-HS % of Total",'Pivot-HS Student % of Undergrad'!$A$3,"State","MD","Category",2,"Category2","Four-Year")</f>
        <v>0</v>
      </c>
      <c r="F19" s="331">
        <f>+GETPIVOTDATA("Undergrad Student Credit Hour FTE - New",'FTE Pivot for regular counts'!$A$2,"State","MD","Category",3,"Category2","Four-Year")</f>
        <v>22198.3</v>
      </c>
      <c r="G19" s="305">
        <f>+GETPIVOTDATA("Sum of New-HS % of Total",'Pivot-HS Student % of Undergrad'!$A$3,"State","MD","Category",3,"Category2","Four-Year")</f>
        <v>0</v>
      </c>
      <c r="H19" s="331">
        <f>+GETPIVOTDATA("Undergrad Student Credit Hour FTE - New",'FTE Pivot for regular counts'!$A$2,"State","MD","Category",4,"Category2","Four-Year")</f>
        <v>24569.733333333334</v>
      </c>
      <c r="I19" s="305">
        <f>+GETPIVOTDATA("Sum of New-HS % of Total",'Pivot-HS Student % of Undergrad'!$A$3,"State","MD","Category",4,"Category2","Four-Year")</f>
        <v>0</v>
      </c>
      <c r="J19" s="331">
        <f>+GETPIVOTDATA("Undergrad Student Credit Hour FTE - New",'FTE Pivot for regular counts'!$A$2,"State","MD","Category",5,"Category2","Four-Year")</f>
        <v>0</v>
      </c>
      <c r="K19" s="305">
        <f>+GETPIVOTDATA("Sum of New-HS % of Total",'Pivot-HS Student % of Undergrad'!$A$3,"State","MD","Category",5,"Category2","Four-Year")</f>
        <v>0</v>
      </c>
      <c r="L19" s="331">
        <f>+GETPIVOTDATA("Undergrad Student Credit Hour FTE - New",'FTE Pivot for regular counts'!$A$2,"State","MD","Category",6,"Category2","Four-Year")</f>
        <v>2074.9833333333331</v>
      </c>
      <c r="M19" s="305">
        <f>+GETPIVOTDATA("Sum of New-HS % of Total",'Pivot-HS Student % of Undergrad'!$A$3,"State","MD","Category",6,"Category2","Four-Year")</f>
        <v>0</v>
      </c>
      <c r="N19" s="331">
        <f>+GETPIVOTDATA("Undergrad Student Credit Hour FTE - New",'FTE Pivot for regular counts'!$A$2,"State","MD","Category2","Four-Year")</f>
        <v>84572.933333333349</v>
      </c>
      <c r="O19" s="305">
        <f>+GETPIVOTDATA("Sum of New-HS % of Total",'Pivot-HS Student % of Undergrad'!$A$3,"State","MD","Category2","Group1")</f>
        <v>0</v>
      </c>
      <c r="Q19" s="1" t="s">
        <v>427</v>
      </c>
      <c r="R19" s="359">
        <f>+GETPIVOTDATA("Sum of Old-HS % of Total",'Pivot-HS Student % of Undergrad'!$A$3,"State","MD","Category",1,"Category2","Four-Year")</f>
        <v>0</v>
      </c>
      <c r="S19" s="393">
        <f>+'Pivot-HS Student % of Undergrad'!Z61*100</f>
        <v>0</v>
      </c>
      <c r="T19" s="402">
        <f>+GETPIVOTDATA("Sum of Old-HS % of Total",'Pivot-HS Student % of Undergrad'!$A$3,"State","MD","Category",2,"Category2","Four-Year")</f>
        <v>0</v>
      </c>
      <c r="U19" s="393" t="e">
        <f>+'Pivot-HS Student % of Undergrad'!AA61*100</f>
        <v>#VALUE!</v>
      </c>
      <c r="V19" s="402">
        <f>+GETPIVOTDATA("Sum of Old-HS % of Total",'Pivot-HS Student % of Undergrad'!$A$3,"State","MD","Category",3,"Category2","Four-Year")</f>
        <v>0</v>
      </c>
      <c r="W19" s="393" t="e">
        <f>+'Pivot-HS Student % of Undergrad'!AB61*100</f>
        <v>#VALUE!</v>
      </c>
      <c r="X19" s="402">
        <f>+GETPIVOTDATA("Sum of Old-HS % of Total",'Pivot-HS Student % of Undergrad'!$A$3,"State","MD","Category",4,"Category2","Four-Year")</f>
        <v>0</v>
      </c>
      <c r="Y19" s="393" t="e">
        <f>+'Pivot-HS Student % of Undergrad'!AC61*100</f>
        <v>#VALUE!</v>
      </c>
      <c r="Z19" s="402">
        <f>+GETPIVOTDATA("Sum of Old-HS % of Total",'Pivot-HS Student % of Undergrad'!$A$3,"State","MD","Category",5,"Category2","Four-Year")</f>
        <v>0</v>
      </c>
      <c r="AA19" s="393" t="e">
        <f>+'Pivot-HS Student % of Undergrad'!AD61*100</f>
        <v>#VALUE!</v>
      </c>
      <c r="AB19" s="402">
        <f>+GETPIVOTDATA("Sum of Old-HS % of Total",'Pivot-HS Student % of Undergrad'!$A$3,"State","MD","Category",6,"Category2","Four-Year")</f>
        <v>0</v>
      </c>
      <c r="AC19" s="393" t="e">
        <f>+'Pivot-HS Student % of Undergrad'!AE61*100</f>
        <v>#VALUE!</v>
      </c>
      <c r="AD19" s="402">
        <f>+GETPIVOTDATA("Sum of Old-HS % of Total",'Pivot-HS Student % of Undergrad'!$A$3,"State","MD","Category2","Four-Year")</f>
        <v>0</v>
      </c>
      <c r="AE19" s="393" t="e">
        <f>+'Pivot-HS Student % of Undergrad'!AF61*100</f>
        <v>#VALUE!</v>
      </c>
    </row>
    <row r="20" spans="1:31" ht="12.75" customHeight="1">
      <c r="B20" s="5"/>
      <c r="C20" s="305"/>
      <c r="D20" s="331"/>
      <c r="E20" s="305"/>
      <c r="F20" s="331"/>
      <c r="G20" s="305"/>
      <c r="H20" s="331"/>
      <c r="I20" s="305"/>
      <c r="J20" s="331"/>
      <c r="K20" s="305"/>
      <c r="L20" s="331"/>
      <c r="M20" s="305"/>
      <c r="N20" s="331"/>
      <c r="O20" s="305"/>
      <c r="R20" s="359"/>
      <c r="S20" s="393"/>
      <c r="T20" s="402"/>
      <c r="U20" s="393"/>
      <c r="V20" s="402"/>
      <c r="W20" s="393"/>
      <c r="X20" s="402"/>
      <c r="Y20" s="393"/>
      <c r="Z20" s="402"/>
      <c r="AA20" s="393"/>
      <c r="AB20" s="402"/>
      <c r="AC20" s="393"/>
      <c r="AD20" s="402"/>
      <c r="AE20" s="393"/>
    </row>
    <row r="21" spans="1:31" ht="15" customHeight="1">
      <c r="A21" s="1" t="s">
        <v>428</v>
      </c>
      <c r="B21" s="5">
        <f>+GETPIVOTDATA("Undergrad Student Credit Hour FTE - New",'FTE Pivot for regular counts'!$A$2,"State","MS","Category",1,"Category2","Four-Year")</f>
        <v>24690.366666666669</v>
      </c>
      <c r="C21" s="305">
        <f>+GETPIVOTDATA("Sum of New-HS % of Total",'Pivot-HS Student % of Undergrad'!$A$3,"State","MS","Category",1,"Category2","Four-Year")</f>
        <v>0</v>
      </c>
      <c r="D21" s="331">
        <f>+GETPIVOTDATA("Undergrad Student Credit Hour FTE - New",'FTE Pivot for regular counts'!$A$2,"State","MS","Category",2,"Category2","Four-Year")</f>
        <v>17788</v>
      </c>
      <c r="E21" s="305">
        <f>+GETPIVOTDATA("Sum of New-HS % of Total",'Pivot-HS Student % of Undergrad'!$A$3,"State","MS","Category",2,"Category2","Four-Year")</f>
        <v>0</v>
      </c>
      <c r="F21" s="331">
        <f>+GETPIVOTDATA("Undergrad Student Credit Hour FTE - New",'FTE Pivot for regular counts'!$A$2,"State","MS","Category",3,"Category2","Four-Year")</f>
        <v>0</v>
      </c>
      <c r="G21" s="305">
        <f>+GETPIVOTDATA("Sum of New-HS % of Total",'Pivot-HS Student % of Undergrad'!$A$3,"State","MS","Category",3,"Category2","Four-Year")</f>
        <v>0</v>
      </c>
      <c r="H21" s="331">
        <f>+GETPIVOTDATA("Undergrad Student Credit Hour FTE - New",'FTE Pivot for regular counts'!$A$2,"State","MS","Category",4,"Category2","Four-Year")</f>
        <v>7522.7666666666664</v>
      </c>
      <c r="I21" s="305">
        <f>+GETPIVOTDATA("Sum of New-HS % of Total",'Pivot-HS Student % of Undergrad'!$A$3,"State","MS","Category",4,"Category2","Four-Year")</f>
        <v>0</v>
      </c>
      <c r="J21" s="331">
        <f>+GETPIVOTDATA("Undergrad Student Credit Hour FTE - New",'FTE Pivot for regular counts'!$A$2,"State","MS","Category",5,"Category2","Four-Year")</f>
        <v>1926.8</v>
      </c>
      <c r="K21" s="305">
        <f>+GETPIVOTDATA("Sum of New-HS % of Total",'Pivot-HS Student % of Undergrad'!$A$3,"State","MS","Category",5,"Category2","Four-Year")</f>
        <v>0</v>
      </c>
      <c r="L21" s="331">
        <f>+GETPIVOTDATA("Undergrad Student Credit Hour FTE - New",'FTE Pivot for regular counts'!$A$2,"State","MS","Category",6,"Category2","Four-Year")</f>
        <v>0</v>
      </c>
      <c r="M21" s="305">
        <f>+GETPIVOTDATA("Sum of New-HS % of Total",'Pivot-HS Student % of Undergrad'!$A$3,"State","MS","Category",6,"Category2","Four-Year")</f>
        <v>0</v>
      </c>
      <c r="N21" s="331">
        <f>+GETPIVOTDATA("Undergrad Student Credit Hour FTE - New",'FTE Pivot for regular counts'!$A$2,"State","MS","Category2","Four-Year")</f>
        <v>51927.933333333334</v>
      </c>
      <c r="O21" s="305">
        <f>+GETPIVOTDATA("Sum of New-HS % of Total",'Pivot-HS Student % of Undergrad'!$A$3,"State","MS","Category2","Group1")</f>
        <v>0</v>
      </c>
      <c r="Q21" s="1" t="s">
        <v>428</v>
      </c>
      <c r="R21" s="359">
        <f>+GETPIVOTDATA("Sum of Old-HS % of Total",'Pivot-HS Student % of Undergrad'!$A$3,"State","MS","Category",1,"Category2","Four-Year")</f>
        <v>0</v>
      </c>
      <c r="S21" s="393">
        <f>+'Pivot-HS Student % of Undergrad'!Z68*100</f>
        <v>0</v>
      </c>
      <c r="T21" s="402">
        <f>+GETPIVOTDATA("Sum of Old-HS % of Total",'Pivot-HS Student % of Undergrad'!$A$3,"State","MS","Category",2,"Category2","Four-Year")</f>
        <v>0</v>
      </c>
      <c r="U21" s="393" t="e">
        <f>+'Pivot-HS Student % of Undergrad'!AA68*100</f>
        <v>#VALUE!</v>
      </c>
      <c r="V21" s="402">
        <f>+GETPIVOTDATA("Sum of Old-HS % of Total",'Pivot-HS Student % of Undergrad'!$A$3,"State","MS","Category",3,"Category2","Four-Year")</f>
        <v>0</v>
      </c>
      <c r="W21" s="393" t="e">
        <f>+'Pivot-HS Student % of Undergrad'!AB68*100</f>
        <v>#VALUE!</v>
      </c>
      <c r="X21" s="402">
        <f>+GETPIVOTDATA("Sum of Old-HS % of Total",'Pivot-HS Student % of Undergrad'!$A$3,"State","MS","Category",4,"Category2","Four-Year")</f>
        <v>0</v>
      </c>
      <c r="Y21" s="393" t="e">
        <f>+'Pivot-HS Student % of Undergrad'!AC68*100</f>
        <v>#VALUE!</v>
      </c>
      <c r="Z21" s="402">
        <f>+GETPIVOTDATA("Sum of Old-HS % of Total",'Pivot-HS Student % of Undergrad'!$A$3,"State","MS","Category",5,"Category2","Four-Year")</f>
        <v>0</v>
      </c>
      <c r="AA21" s="393" t="e">
        <f>+'Pivot-HS Student % of Undergrad'!AD68*100</f>
        <v>#VALUE!</v>
      </c>
      <c r="AB21" s="402">
        <f>+GETPIVOTDATA("Sum of Old-HS % of Total",'Pivot-HS Student % of Undergrad'!$A$3,"State","MS","Category",6,"Category2","Four-Year")</f>
        <v>0</v>
      </c>
      <c r="AC21" s="393" t="e">
        <f>+'Pivot-HS Student % of Undergrad'!AE68*100</f>
        <v>#VALUE!</v>
      </c>
      <c r="AD21" s="402">
        <f>+GETPIVOTDATA("Sum of Old-HS % of Total",'Pivot-HS Student % of Undergrad'!$A$3,"State","MS","Category2","Four-Year")</f>
        <v>0</v>
      </c>
      <c r="AE21" s="393" t="e">
        <f>+'Pivot-HS Student % of Undergrad'!AF68*100</f>
        <v>#VALUE!</v>
      </c>
    </row>
    <row r="22" spans="1:31" ht="15" customHeight="1">
      <c r="A22" s="1" t="s">
        <v>429</v>
      </c>
      <c r="B22" s="5">
        <f>+GETPIVOTDATA("Undergrad Student Credit Hour FTE - New",'FTE Pivot for regular counts'!$A$2,"State","NC","Category",1,"Category2","Four-Year")</f>
        <v>40857.100000000006</v>
      </c>
      <c r="C22" s="305">
        <f>+GETPIVOTDATA("Sum of New-HS % of Total",'Pivot-HS Student % of Undergrad'!$A$3,"State","NC","Category",1,"Category2","Four-Year")</f>
        <v>0</v>
      </c>
      <c r="D22" s="331">
        <f>+GETPIVOTDATA("Undergrad Student Credit Hour FTE - New",'FTE Pivot for regular counts'!$A$2,"State","NC","Category",2,"Category2","Four-Year")</f>
        <v>31276.466666666667</v>
      </c>
      <c r="E22" s="305">
        <f>+GETPIVOTDATA("Sum of New-HS % of Total",'Pivot-HS Student % of Undergrad'!$A$3,"State","NC","Category",2,"Category2","Four-Year")</f>
        <v>2.3569371646839903E-2</v>
      </c>
      <c r="F22" s="331">
        <f>+GETPIVOTDATA("Undergrad Student Credit Hour FTE - New",'FTE Pivot for regular counts'!$A$2,"State","NC","Category",3,"Category2","Four-Year")</f>
        <v>67016.166666666672</v>
      </c>
      <c r="G22" s="305">
        <f>+GETPIVOTDATA("Sum of New-HS % of Total",'Pivot-HS Student % of Undergrad'!$A$3,"State","NC","Category",3,"Category2","Four-Year")</f>
        <v>4.0035115904868725E-3</v>
      </c>
      <c r="H22" s="331">
        <f>+GETPIVOTDATA("Undergrad Student Credit Hour FTE - New",'FTE Pivot for regular counts'!$A$2,"State","NC","Category",4,"Category2","Four-Year")</f>
        <v>5170.4666666666662</v>
      </c>
      <c r="I22" s="305">
        <f>+GETPIVOTDATA("Sum of New-HS % of Total",'Pivot-HS Student % of Undergrad'!$A$3,"State","NC","Category",4,"Category2","Four-Year")</f>
        <v>1.5214616346686952E-2</v>
      </c>
      <c r="J22" s="331">
        <f>+GETPIVOTDATA("Undergrad Student Credit Hour FTE - New",'FTE Pivot for regular counts'!$A$2,"State","NC","Category",5,"Category2","Four-Year")</f>
        <v>11157.466666666667</v>
      </c>
      <c r="K22" s="305">
        <f>+GETPIVOTDATA("Sum of New-HS % of Total",'Pivot-HS Student % of Undergrad'!$A$3,"State","NC","Category",5,"Category2","Four-Year")</f>
        <v>0</v>
      </c>
      <c r="L22" s="331">
        <f>+GETPIVOTDATA("Undergrad Student Credit Hour FTE - New",'FTE Pivot for regular counts'!$A$2,"State","NC","Category",6,"Category2","Four-Year")</f>
        <v>6464.5666666666666</v>
      </c>
      <c r="M22" s="305">
        <f>+GETPIVOTDATA("Sum of New-HS % of Total",'Pivot-HS Student % of Undergrad'!$A$3,"State","NC","Category",6,"Category2","Four-Year")</f>
        <v>4.6406822834219361E-4</v>
      </c>
      <c r="N22" s="331">
        <f>+GETPIVOTDATA("Undergrad Student Credit Hour FTE - New",'FTE Pivot for regular counts'!$A$2,"State","NC","Category2","Four-Year")</f>
        <v>161942.23333333337</v>
      </c>
      <c r="O22" s="305">
        <f>+GETPIVOTDATA("Sum of New-HS % of Total",'Pivot-HS Student % of Undergrad'!$A$3,"State","NC","Category2","Group1")</f>
        <v>7.8766457477729649E-3</v>
      </c>
      <c r="Q22" s="1" t="s">
        <v>429</v>
      </c>
      <c r="R22" s="359">
        <f>+GETPIVOTDATA("Sum of Old-HS % of Total",'Pivot-HS Student % of Undergrad'!$A$3,"State","NC","Category",1,"Category2","Four-Year")</f>
        <v>0</v>
      </c>
      <c r="S22" s="393">
        <f>+'Pivot-HS Student % of Undergrad'!Z75*100</f>
        <v>0</v>
      </c>
      <c r="T22" s="402">
        <f>+GETPIVOTDATA("Sum of Old-HS % of Total",'Pivot-HS Student % of Undergrad'!$A$3,"State","NC","Category",2,"Category2","Four-Year")</f>
        <v>1.4072547763770536E-2</v>
      </c>
      <c r="U22" s="393">
        <f>+'Pivot-HS Student % of Undergrad'!AA75*100</f>
        <v>0.94968238830693674</v>
      </c>
      <c r="V22" s="402">
        <f>+GETPIVOTDATA("Sum of Old-HS % of Total",'Pivot-HS Student % of Undergrad'!$A$3,"State","NC","Category",3,"Category2","Four-Year")</f>
        <v>2.57537953429697E-3</v>
      </c>
      <c r="W22" s="393">
        <f>+'Pivot-HS Student % of Undergrad'!AB75*100</f>
        <v>0.14281320561899025</v>
      </c>
      <c r="X22" s="402">
        <f>+GETPIVOTDATA("Sum of Old-HS % of Total",'Pivot-HS Student % of Undergrad'!$A$3,"State","NC","Category",4,"Category2","Four-Year")</f>
        <v>9.5872409055611976E-3</v>
      </c>
      <c r="Y22" s="393">
        <f>+'Pivot-HS Student % of Undergrad'!AC75*10</f>
        <v>5.6273754411257544E-2</v>
      </c>
      <c r="Z22" s="402">
        <f>+GETPIVOTDATA("Sum of Old-HS % of Total",'Pivot-HS Student % of Undergrad'!$A$3,"State","NC","Category",5,"Category2","Four-Year")</f>
        <v>0</v>
      </c>
      <c r="AA22" s="393" t="e">
        <f>+'Pivot-HS Student % of Undergrad'!AD75*100</f>
        <v>#VALUE!</v>
      </c>
      <c r="AB22" s="402">
        <f>+GETPIVOTDATA("Sum of Old-HS % of Total",'Pivot-HS Student % of Undergrad'!$A$3,"State","NC","Category",6,"Category2","Four-Year")</f>
        <v>0</v>
      </c>
      <c r="AC22" s="393" t="e">
        <f>+'Pivot-HS Student % of Undergrad'!AE75*100</f>
        <v>#VALUE!</v>
      </c>
      <c r="AD22" s="402">
        <f>+GETPIVOTDATA("Sum of Old-HS % of Total",'Pivot-HS Student % of Undergrad'!$A$3,"State","NC","Category2","Four-Year")</f>
        <v>4.7826945001004173E-3</v>
      </c>
      <c r="AE22" s="393">
        <f>+'Pivot-HS Student % of Undergrad'!AF75*100</f>
        <v>0.30939512476725478</v>
      </c>
    </row>
    <row r="23" spans="1:31" ht="15" customHeight="1">
      <c r="A23" s="1" t="s">
        <v>430</v>
      </c>
      <c r="B23" s="5">
        <f>+GETPIVOTDATA("Undergrad Student Credit Hour FTE - New",'FTE Pivot for regular counts'!$A$2,"State","OK","Category",1,"Category2","Four-Year")</f>
        <v>35328.333333333328</v>
      </c>
      <c r="C23" s="305">
        <f>+GETPIVOTDATA("Sum of New-HS % of Total",'Pivot-HS Student % of Undergrad'!$A$3,"State","OK","Category",1,"Category2","Four-Year")</f>
        <v>1.1765815917346794E-3</v>
      </c>
      <c r="D23" s="331">
        <f>+GETPIVOTDATA("Undergrad Student Credit Hour FTE - New",'FTE Pivot for regular counts'!$A$2,"State","OK","Category",2,"Category2","Four-Year")</f>
        <v>0</v>
      </c>
      <c r="E23" s="305"/>
      <c r="F23" s="331">
        <f>+GETPIVOTDATA("Undergrad Student Credit Hour FTE - New",'FTE Pivot for regular counts'!$A$2,"State","OK","Category",3,"Category2","Four-Year")</f>
        <v>17408.7</v>
      </c>
      <c r="G23" s="305">
        <f>+GETPIVOTDATA("Sum of New-HS % of Total",'Pivot-HS Student % of Undergrad'!$A$3,"State","OK","Category",3,"Category2","Four-Year")</f>
        <v>5.1525961157352362E-3</v>
      </c>
      <c r="H23" s="331">
        <f>+GETPIVOTDATA("Undergrad Student Credit Hour FTE - New",'FTE Pivot for regular counts'!$A$2,"State","OK","Category",4,"Category2","Four-Year")</f>
        <v>0</v>
      </c>
      <c r="I23" s="305">
        <f>+GETPIVOTDATA("Sum of New-HS % of Total",'Pivot-HS Student % of Undergrad'!$A$3,"State","OK","Category",4,"Category2","Four-Year")</f>
        <v>0</v>
      </c>
      <c r="J23" s="331">
        <f>+GETPIVOTDATA("Undergrad Student Credit Hour FTE - New",'FTE Pivot for regular counts'!$A$2,"State","OK","Category",5,"Category2","Four-Year")</f>
        <v>18303.733333333334</v>
      </c>
      <c r="K23" s="305">
        <f>+GETPIVOTDATA("Sum of New-HS % of Total",'Pivot-HS Student % of Undergrad'!$A$3,"State","OK","Category",5,"Category2","Four-Year")</f>
        <v>1.0180072553504567E-2</v>
      </c>
      <c r="L23" s="331">
        <f>+GETPIVOTDATA("Undergrad Student Credit Hour FTE - New",'FTE Pivot for regular counts'!$A$2,"State","OK","Category",6,"Category2","Four-Year")</f>
        <v>5225.3999999999996</v>
      </c>
      <c r="M23" s="305">
        <f>+GETPIVOTDATA("Sum of New-HS % of Total",'Pivot-HS Student % of Undergrad'!$A$3,"State","OK","Category",6,"Category2","Four-Year")</f>
        <v>1.7434072032763041E-2</v>
      </c>
      <c r="N23" s="331">
        <f>+GETPIVOTDATA("Undergrad Student Credit Hour FTE - New",'FTE Pivot for regular counts'!$A$2,"State","OK","Category2","Four-Year")</f>
        <v>76266.166666666657</v>
      </c>
      <c r="O23" s="305">
        <f>+GETPIVOTDATA("Sum of New-HS % of Total",'Pivot-HS Student % of Undergrad'!$A$3,"State","OK","Category2","Group1")</f>
        <v>5.3588638037399723E-3</v>
      </c>
      <c r="Q23" s="1" t="s">
        <v>430</v>
      </c>
      <c r="R23" s="359">
        <f>+GETPIVOTDATA("Sum of Old-HS % of Total",'Pivot-HS Student % of Undergrad'!$A$3,"State","OK","Category",1,"Category2","Four-Year")</f>
        <v>1.2459459739018984E-3</v>
      </c>
      <c r="S23" s="394">
        <f>+'Pivot-HS Student % of Undergrad'!Z82*100</f>
        <v>0</v>
      </c>
      <c r="T23" s="402">
        <f>+GETPIVOTDATA("Sum of Old-HS % of Total",'Pivot-HS Student % of Undergrad'!$A$3,"State","OK","Category",2,"Category2","Four-Year")</f>
        <v>0</v>
      </c>
      <c r="U23" s="393" t="e">
        <f>+'Pivot-HS Student % of Undergrad'!AA82*100</f>
        <v>#VALUE!</v>
      </c>
      <c r="V23" s="402">
        <f>+GETPIVOTDATA("Sum of Old-HS % of Total",'Pivot-HS Student % of Undergrad'!$A$3,"State","OK","Category",3,"Category2","Four-Year")</f>
        <v>6.4418534843673474E-3</v>
      </c>
      <c r="W23" s="394">
        <f>+'Pivot-HS Student % of Undergrad'!AB82*100</f>
        <v>-0.12892573686321113</v>
      </c>
      <c r="X23" s="402">
        <f>+GETPIVOTDATA("Sum of Old-HS % of Total",'Pivot-HS Student % of Undergrad'!$A$3,"State","OK","Category",4,"Category2","Four-Year")</f>
        <v>0</v>
      </c>
      <c r="Y23" s="394" t="e">
        <f>+'Pivot-HS Student % of Undergrad'!AC82*100</f>
        <v>#VALUE!</v>
      </c>
      <c r="Z23" s="402">
        <f>+GETPIVOTDATA("Sum of Old-HS % of Total",'Pivot-HS Student % of Undergrad'!$A$3,"State","OK","Category",5,"Category2","Four-Year")</f>
        <v>1.121787941428312E-2</v>
      </c>
      <c r="AA23" s="393">
        <f>+'Pivot-HS Student % of Undergrad'!AD82*100</f>
        <v>-0.10378068607785532</v>
      </c>
      <c r="AB23" s="402">
        <f>+GETPIVOTDATA("Sum of Old-HS % of Total",'Pivot-HS Student % of Undergrad'!$A$3,"State","OK","Category",6,"Category2","Four-Year")</f>
        <v>1.6222922674535577E-2</v>
      </c>
      <c r="AC23" s="393">
        <f>+'Pivot-HS Student % of Undergrad'!AE82*100</f>
        <v>0.12111493582274632</v>
      </c>
      <c r="AD23" s="402">
        <f>+GETPIVOTDATA("Sum of Old-HS % of Total",'Pivot-HS Student % of Undergrad'!$A$3,"State","OK","Category2","Four-Year")</f>
        <v>5.5899598929316854E-3</v>
      </c>
      <c r="AE23" s="394">
        <f>+'Pivot-HS Student % of Undergrad'!AF82*100</f>
        <v>-2.3109608919171312E-2</v>
      </c>
    </row>
    <row r="24" spans="1:31" ht="15" customHeight="1">
      <c r="A24" s="1" t="s">
        <v>431</v>
      </c>
      <c r="B24" s="5">
        <f>+GETPIVOTDATA("Undergrad Student Credit Hour FTE - New",'FTE Pivot for regular counts'!$A$2,"State","SC","Category",1,"Category2","Four-Year")</f>
        <v>35288.666666666672</v>
      </c>
      <c r="C24" s="360">
        <f>+GETPIVOTDATA("Sum of New-HS % of Total",'Pivot-HS Student % of Undergrad'!$A$3,"State","SC","Category",1,"Category2","Four-Year")</f>
        <v>2.6232730810674397E-4</v>
      </c>
      <c r="D24" s="331">
        <f>+GETPIVOTDATA("Undergrad Student Credit Hour FTE - New",'FTE Pivot for regular counts'!$A$2,"State","SC","Category",2,"Category2","Four-Year")</f>
        <v>0</v>
      </c>
      <c r="E24" s="305">
        <f>+GETPIVOTDATA("Sum of New-HS % of Total",'Pivot-HS Student % of Undergrad'!$A$3,"State","SC","Category",2,"Category2","Four-Year")</f>
        <v>0</v>
      </c>
      <c r="F24" s="331">
        <f>+GETPIVOTDATA("Undergrad Student Credit Hour FTE - New",'FTE Pivot for regular counts'!$A$2,"State","SC","Category",3,"Category2","Four-Year")</f>
        <v>14443.6</v>
      </c>
      <c r="G24" s="305">
        <f>+GETPIVOTDATA("Sum of New-HS % of Total",'Pivot-HS Student % of Undergrad'!$A$3,"State","SC","Category",3,"Category2","Four-Year")</f>
        <v>3.8909967044227201E-3</v>
      </c>
      <c r="H24" s="331">
        <f>+GETPIVOTDATA("Undergrad Student Credit Hour FTE - New",'FTE Pivot for regular counts'!$A$2,"State","SC","Category",4,"Category2","Four-Year")</f>
        <v>2785.8</v>
      </c>
      <c r="I24" s="305">
        <f>+GETPIVOTDATA("Sum of New-HS % of Total",'Pivot-HS Student % of Undergrad'!$A$3,"State","SC","Category",4,"Category2","Four-Year")</f>
        <v>2.4289850910570272E-3</v>
      </c>
      <c r="J24" s="331">
        <f>+GETPIVOTDATA("Undergrad Student Credit Hour FTE - New",'FTE Pivot for regular counts'!$A$2,"State","SC","Category",5,"Category2","Four-Year")</f>
        <v>14658.7</v>
      </c>
      <c r="K24" s="305">
        <f>+GETPIVOTDATA("Sum of New-HS % of Total",'Pivot-HS Student % of Undergrad'!$A$3,"State","SC","Category",5,"Category2","Four-Year")</f>
        <v>2.2125654616939657E-3</v>
      </c>
      <c r="L24" s="331">
        <f>+GETPIVOTDATA("Undergrad Student Credit Hour FTE - New",'FTE Pivot for regular counts'!$A$2,"State","SC","Category",6,"Category2","Four-Year")</f>
        <v>11416.699999999999</v>
      </c>
      <c r="M24" s="305">
        <f>+GETPIVOTDATA("Sum of New-HS % of Total",'Pivot-HS Student % of Undergrad'!$A$3,"State","SC","Category",6,"Category2","Four-Year")</f>
        <v>7.103628894514177E-3</v>
      </c>
      <c r="N24" s="331">
        <f>+GETPIVOTDATA("Undergrad Student Credit Hour FTE - New",'FTE Pivot for regular counts'!$A$2,"State","SC","Category2","Four-Year")</f>
        <v>78593.466666666674</v>
      </c>
      <c r="O24" s="305">
        <f>+GETPIVOTDATA("Sum of New-HS % of Total",'Pivot-HS Student % of Undergrad'!$A$3,"State","SC","Category2","Group1")</f>
        <v>2.8678189482209582E-3</v>
      </c>
      <c r="Q24" s="1" t="s">
        <v>431</v>
      </c>
      <c r="R24" s="414">
        <f>+GETPIVOTDATA("Sum of Old-HS % of Total",'Pivot-HS Student % of Undergrad'!$A$3,"State","SC","Category",1,"Category2","Four-Year")</f>
        <v>1.5237646683993717E-4</v>
      </c>
      <c r="S24" s="394">
        <f>+'Pivot-HS Student % of Undergrad'!Z89*100</f>
        <v>0</v>
      </c>
      <c r="T24" s="402">
        <f>+GETPIVOTDATA("Sum of Old-HS % of Total",'Pivot-HS Student % of Undergrad'!$A$3,"State","SC","Category",2,"Category2","Four-Year")</f>
        <v>0</v>
      </c>
      <c r="U24" s="394" t="e">
        <f>+'Pivot-HS Student % of Undergrad'!AA89*100</f>
        <v>#VALUE!</v>
      </c>
      <c r="V24" s="402">
        <f>+GETPIVOTDATA("Sum of Old-HS % of Total",'Pivot-HS Student % of Undergrad'!$A$3,"State","SC","Category",3,"Category2","Four-Year")</f>
        <v>7.3702514251342164E-3</v>
      </c>
      <c r="W24" s="394">
        <f>+'Pivot-HS Student % of Undergrad'!AB89*100</f>
        <v>-0.34792547207114966</v>
      </c>
      <c r="X24" s="402">
        <f>+GETPIVOTDATA("Sum of Old-HS % of Total",'Pivot-HS Student % of Undergrad'!$A$3,"State","SC","Category",4,"Category2","Four-Year")</f>
        <v>2.0468947258754457E-3</v>
      </c>
      <c r="Y24" s="394">
        <f>+'Pivot-HS Student % of Undergrad'!AC89*100</f>
        <v>3.8209036518158143E-2</v>
      </c>
      <c r="Z24" s="402">
        <f>+GETPIVOTDATA("Sum of Old-HS % of Total",'Pivot-HS Student % of Undergrad'!$A$3,"State","SC","Category",5,"Category2","Four-Year")</f>
        <v>2.3173928984013448E-3</v>
      </c>
      <c r="AA24" s="393">
        <f>+'Pivot-HS Student % of Undergrad'!AD89*100</f>
        <v>-1.0482743670737907E-2</v>
      </c>
      <c r="AB24" s="402">
        <f>+GETPIVOTDATA("Sum of Old-HS % of Total",'Pivot-HS Student % of Undergrad'!$A$3,"State","SC","Category",6,"Category2","Four-Year")</f>
        <v>7.4186660316940007E-3</v>
      </c>
      <c r="AC24" s="393">
        <f>+'Pivot-HS Student % of Undergrad'!AE89*100</f>
        <v>-3.1503713717982371E-2</v>
      </c>
      <c r="AD24" s="402">
        <f>+GETPIVOTDATA("Sum of Old-HS % of Total",'Pivot-HS Student % of Undergrad'!$A$3,"State","SC","Category2","Four-Year")</f>
        <v>3.0273130914472801E-3</v>
      </c>
      <c r="AE24" s="394">
        <f>+'Pivot-HS Student % of Undergrad'!AF89*100</f>
        <v>-1.594941432263219E-2</v>
      </c>
    </row>
    <row r="25" spans="1:31" ht="15" customHeight="1">
      <c r="B25" s="5"/>
      <c r="C25" s="360"/>
      <c r="D25" s="331"/>
      <c r="E25" s="305"/>
      <c r="F25" s="331"/>
      <c r="G25" s="305"/>
      <c r="H25" s="331"/>
      <c r="I25" s="305"/>
      <c r="J25" s="331"/>
      <c r="K25" s="305"/>
      <c r="L25" s="331"/>
      <c r="M25" s="305"/>
      <c r="N25" s="331"/>
      <c r="O25" s="305"/>
      <c r="R25" s="414"/>
      <c r="S25" s="394"/>
      <c r="T25" s="402"/>
      <c r="U25" s="394"/>
      <c r="V25" s="402"/>
      <c r="W25" s="394"/>
      <c r="X25" s="402"/>
      <c r="Y25" s="394"/>
      <c r="Z25" s="402"/>
      <c r="AA25" s="393"/>
      <c r="AB25" s="402"/>
      <c r="AC25" s="393"/>
      <c r="AD25" s="402"/>
      <c r="AE25" s="394"/>
    </row>
    <row r="26" spans="1:31" ht="15" customHeight="1">
      <c r="A26" s="1" t="s">
        <v>432</v>
      </c>
      <c r="B26" s="5">
        <f>+GETPIVOTDATA("Undergrad Student Credit Hour FTE - New",'FTE Pivot for regular counts'!$A$2,"State","TN","Category",1,"Category2","Four-Year")</f>
        <v>34350.5</v>
      </c>
      <c r="C26" s="305">
        <f>+GETPIVOTDATA("Sum of New-HS % of Total",'Pivot-HS Student % of Undergrad'!$A$3,"State","TN","Category",1,"Category2","Four-Year")</f>
        <v>2.9693890918618361E-3</v>
      </c>
      <c r="D26" s="331">
        <f>+GETPIVOTDATA("Undergrad Student Credit Hour FTE - New",'FTE Pivot for regular counts'!$A$2,"State","TN","Category",2,"Category2","Four-Year")</f>
        <v>0</v>
      </c>
      <c r="E26" s="305">
        <f>+GETPIVOTDATA("Sum of New-HS % of Total",'Pivot-HS Student % of Undergrad'!$A$3,"State","TN","Category",2,"Category2","Four-Year")</f>
        <v>0</v>
      </c>
      <c r="F26" s="331">
        <f>+GETPIVOTDATA("Undergrad Student Credit Hour FTE - New",'FTE Pivot for regular counts'!$A$2,"State","TN","Category",3,"Category2","Four-Year")</f>
        <v>51871.23333333333</v>
      </c>
      <c r="G26" s="305">
        <f>+GETPIVOTDATA("Sum of New-HS % of Total",'Pivot-HS Student % of Undergrad'!$A$3,"State","TN","Category",3,"Category2","Four-Year")</f>
        <v>2.7818887411583944E-3</v>
      </c>
      <c r="H26" s="331">
        <f>+GETPIVOTDATA("Undergrad Student Credit Hour FTE - New",'FTE Pivot for regular counts'!$A$2,"State","TN","Category",4,"Category2","Four-Year")</f>
        <v>7427.2</v>
      </c>
      <c r="I26" s="305">
        <f>+GETPIVOTDATA("Sum of New-HS % of Total",'Pivot-HS Student % of Undergrad'!$A$3,"State","TN","Category",4,"Category2","Four-Year")</f>
        <v>6.5928838144477956E-3</v>
      </c>
      <c r="J26" s="331">
        <f>+GETPIVOTDATA("Undergrad Student Credit Hour FTE - New",'FTE Pivot for regular counts'!$A$2,"State","TN","Category",5,"Category2","Four-Year")</f>
        <v>6458.2333333333336</v>
      </c>
      <c r="K26" s="305">
        <f>+GETPIVOTDATA("Sum of New-HS % of Total",'Pivot-HS Student % of Undergrad'!$A$3,"State","TN","Category",5,"Category2","Four-Year")</f>
        <v>3.413214140089911E-2</v>
      </c>
      <c r="L26" s="331">
        <f>+GETPIVOTDATA("Undergrad Student Credit Hour FTE - New",'FTE Pivot for regular counts'!$A$2,"State","TN","Category",6,"Category2","Four-Year")</f>
        <v>0</v>
      </c>
      <c r="M26" s="305">
        <f>+GETPIVOTDATA("Sum of New-HS % of Total",'Pivot-HS Student % of Undergrad'!$A$3,"State","TN","Category",6,"Category2","Four-Year")</f>
        <v>0</v>
      </c>
      <c r="N26" s="331">
        <f>+GETPIVOTDATA("Undergrad Student Credit Hour FTE - New",'FTE Pivot for regular counts'!$A$2,"State","TN","Category2","Four-Year")</f>
        <v>100107.16666666667</v>
      </c>
      <c r="O26" s="305">
        <f>+GETPIVOTDATA("Sum of New-HS % of Total",'Pivot-HS Student % of Undergrad'!$A$3,"State","TN","Category2","Group1")</f>
        <v>5.1514793313166057E-3</v>
      </c>
      <c r="Q26" s="1" t="s">
        <v>432</v>
      </c>
      <c r="R26" s="359">
        <f>+GETPIVOTDATA("Sum of Old-HS % of Total",'Pivot-HS Student % of Undergrad'!$A$3,"State","TN","Category",1,"Category2","Four-Year")</f>
        <v>2.9352800110366527E-3</v>
      </c>
      <c r="S26" s="394">
        <f>+'Pivot-HS Student % of Undergrad'!Z96*100</f>
        <v>0</v>
      </c>
      <c r="T26" s="402">
        <f>+GETPIVOTDATA("Sum of Old-HS % of Total",'Pivot-HS Student % of Undergrad'!$A$3,"State","TN","Category",2,"Category2","Four-Year")</f>
        <v>0</v>
      </c>
      <c r="U26" s="393" t="e">
        <f>+'Pivot-HS Student % of Undergrad'!AA96*100</f>
        <v>#VALUE!</v>
      </c>
      <c r="V26" s="402">
        <f>+GETPIVOTDATA("Sum of Old-HS % of Total",'Pivot-HS Student % of Undergrad'!$A$3,"State","TN","Category",3,"Category2","Four-Year")</f>
        <v>2.3361184575352986E-3</v>
      </c>
      <c r="W26" s="394">
        <f>+'Pivot-HS Student % of Undergrad'!AB96*100</f>
        <v>4.4577028362309576E-2</v>
      </c>
      <c r="X26" s="402">
        <f>+GETPIVOTDATA("Sum of Old-HS % of Total",'Pivot-HS Student % of Undergrad'!$A$3,"State","TN","Category",4,"Category2","Four-Year")</f>
        <v>4.4922180960367116E-3</v>
      </c>
      <c r="Y26" s="393">
        <f>+'Pivot-HS Student % of Undergrad'!AC96*100</f>
        <v>0.21006657184110838</v>
      </c>
      <c r="Z26" s="402">
        <f>+GETPIVOTDATA("Sum of Old-HS % of Total",'Pivot-HS Student % of Undergrad'!$A$3,"State","TN","Category",5,"Category2","Four-Year")</f>
        <v>3.272971450851276E-2</v>
      </c>
      <c r="AA26" s="394">
        <f>+'Pivot-HS Student % of Undergrad'!AD96*100</f>
        <v>0.14024268923863506</v>
      </c>
      <c r="AB26" s="402">
        <f>+GETPIVOTDATA("Sum of Old-HS % of Total",'Pivot-HS Student % of Undergrad'!$A$3,"State","TN","Category",6,"Category2","Four-Year")</f>
        <v>0</v>
      </c>
      <c r="AC26" s="393" t="e">
        <f>+'Pivot-HS Student % of Undergrad'!AE96*100</f>
        <v>#VALUE!</v>
      </c>
      <c r="AD26" s="402">
        <f>+GETPIVOTDATA("Sum of Old-HS % of Total",'Pivot-HS Student % of Undergrad'!$A$3,"State","TN","Category2","Four-Year")</f>
        <v>4.6250017526718416E-3</v>
      </c>
      <c r="AE26" s="393">
        <f>+'Pivot-HS Student % of Undergrad'!AF96*100</f>
        <v>5.264775786447641E-2</v>
      </c>
    </row>
    <row r="27" spans="1:31" ht="15" customHeight="1">
      <c r="A27" s="1" t="s">
        <v>433</v>
      </c>
      <c r="B27" s="5">
        <f>+GETPIVOTDATA("Undergrad Student Credit Hour FTE - New",'FTE Pivot for regular counts'!$A$2,"State","TX","Category",1,"Category2","Four-Year")</f>
        <v>164286.16666666666</v>
      </c>
      <c r="C27" s="360">
        <f>+GETPIVOTDATA("Sum of New-HS % of Total",'Pivot-HS Student % of Undergrad'!$A$3,"State","TX","Category",1,"Category2","Four-Year")</f>
        <v>2.0756464583648247E-4</v>
      </c>
      <c r="D27" s="331">
        <f>+GETPIVOTDATA("Undergrad Student Credit Hour FTE - New",'FTE Pivot for regular counts'!$A$2,"State","TX","Category",2,"Category2","Four-Year")</f>
        <v>40728.300000000003</v>
      </c>
      <c r="E27" s="305">
        <f>+GETPIVOTDATA("Sum of New-HS % of Total",'Pivot-HS Student % of Undergrad'!$A$3,"State","TX","Category",2,"Category2","Four-Year")</f>
        <v>4.445721197954903E-3</v>
      </c>
      <c r="F27" s="331">
        <f>+GETPIVOTDATA("Undergrad Student Credit Hour FTE - New",'FTE Pivot for regular counts'!$A$2,"State","TX","Category",3,"Category2","Four-Year")</f>
        <v>128753.46666666667</v>
      </c>
      <c r="G27" s="305">
        <f>+GETPIVOTDATA("Sum of New-HS % of Total",'Pivot-HS Student % of Undergrad'!$A$3,"State","TX","Category",3,"Category2","Four-Year")</f>
        <v>4.4314664407741509E-3</v>
      </c>
      <c r="H27" s="331">
        <f>+GETPIVOTDATA("Undergrad Student Credit Hour FTE - New",'FTE Pivot for regular counts'!$A$2,"State","TX","Category",4,"Category2","Four-Year")</f>
        <v>7419.9</v>
      </c>
      <c r="I27" s="305">
        <f>+GETPIVOTDATA("Sum of New-HS % of Total",'Pivot-HS Student % of Undergrad'!$A$3,"State","TX","Category",4,"Category2","Four-Year")</f>
        <v>3.715683499777625E-2</v>
      </c>
      <c r="J27" s="331">
        <f>+GETPIVOTDATA("Undergrad Student Credit Hour FTE - New",'FTE Pivot for regular counts'!$A$2,"State","TX","Category",5,"Category2","Four-Year")</f>
        <v>9216.1</v>
      </c>
      <c r="K27" s="360">
        <f>+GETPIVOTDATA("Sum of New-HS % of Total",'Pivot-HS Student % of Undergrad'!$A$3,"State","TX","Category",5,"Category2","Four-Year")</f>
        <v>1.1718622844804202E-3</v>
      </c>
      <c r="L27" s="331">
        <f>+GETPIVOTDATA("Undergrad Student Credit Hour FTE - New",'FTE Pivot for regular counts'!$A$2,"State","TX","Category",6,"Category2","Four-Year")</f>
        <v>1635.9</v>
      </c>
      <c r="M27" s="305">
        <f>+GETPIVOTDATA("Sum of New-HS % of Total",'Pivot-HS Student % of Undergrad'!$A$3,"State","TX","Category",6,"Category2","Four-Year")</f>
        <v>0</v>
      </c>
      <c r="N27" s="331">
        <f>+GETPIVOTDATA("Undergrad Student Credit Hour FTE - New",'FTE Pivot for regular counts'!$A$2,"State","TX","Category2","Four-Year")</f>
        <v>352039.83333333337</v>
      </c>
      <c r="O27" s="305">
        <f>+GETPIVOTDATA("Sum of New-HS % of Total",'Pivot-HS Student % of Undergrad'!$A$3,"State","TX","Category2","Group1")</f>
        <v>3.0457727558292408E-3</v>
      </c>
      <c r="Q27" s="1" t="s">
        <v>433</v>
      </c>
      <c r="R27" s="414">
        <f>+GETPIVOTDATA("Sum of Old-HS % of Total",'Pivot-HS Student % of Undergrad'!$A$3,"State","TX","Category",1,"Category2","Four-Year")</f>
        <v>9.3082414923597421E-5</v>
      </c>
      <c r="S27" s="394">
        <f>+'Pivot-HS Student % of Undergrad'!Z103*100</f>
        <v>0</v>
      </c>
      <c r="T27" s="402">
        <f>+GETPIVOTDATA("Sum of Old-HS % of Total",'Pivot-HS Student % of Undergrad'!$A$3,"State","TX","Category",2,"Category2","Four-Year")</f>
        <v>4.8934828084003677E-3</v>
      </c>
      <c r="U27" s="394">
        <f>+'Pivot-HS Student % of Undergrad'!AA103*100</f>
        <v>-4.4776161044546466E-2</v>
      </c>
      <c r="V27" s="402">
        <f>+GETPIVOTDATA("Sum of Old-HS % of Total",'Pivot-HS Student % of Undergrad'!$A$3,"State","TX","Category",3,"Category2","Four-Year")</f>
        <v>2.9153152924209745E-3</v>
      </c>
      <c r="W27" s="406">
        <f>+'Pivot-HS Student % of Undergrad'!AB103*100</f>
        <v>0.15161511483531764</v>
      </c>
      <c r="X27" s="402">
        <f>+GETPIVOTDATA("Sum of Old-HS % of Total",'Pivot-HS Student % of Undergrad'!$A$3,"State","TX","Category",4,"Category2","Four-Year")</f>
        <v>3.8145886678484668E-2</v>
      </c>
      <c r="Y27" s="393">
        <f>+'Pivot-HS Student % of Undergrad'!AC103*100</f>
        <v>-9.8905168070841792E-2</v>
      </c>
      <c r="Z27" s="415">
        <f>+GETPIVOTDATA("Sum of Old-HS % of Total",'Pivot-HS Student % of Undergrad'!$A$3,"State","TX","Category",5,"Category2","Four-Year")</f>
        <v>5.4261362587713306E-4</v>
      </c>
      <c r="AA27" s="394">
        <f>+'Pivot-HS Student % of Undergrad'!AD103*100</f>
        <v>6.2924865860328721E-2</v>
      </c>
      <c r="AB27" s="402">
        <f>+GETPIVOTDATA("Sum of Old-HS % of Total",'Pivot-HS Student % of Undergrad'!$A$3,"State","TX","Category",6,"Category2","Four-Year")</f>
        <v>0</v>
      </c>
      <c r="AC27" s="394" t="e">
        <f>+'Pivot-HS Student % of Undergrad'!AE103*100</f>
        <v>#VALUE!</v>
      </c>
      <c r="AD27" s="402">
        <f>+GETPIVOTDATA("Sum of Old-HS % of Total",'Pivot-HS Student % of Undergrad'!$A$3,"State","TX","Category2","Four-Year")</f>
        <v>2.4705695272331258E-3</v>
      </c>
      <c r="AE27" s="394">
        <f>+'Pivot-HS Student % of Undergrad'!AF103*100</f>
        <v>5.7520322859611492E-2</v>
      </c>
    </row>
    <row r="28" spans="1:31" ht="15" customHeight="1">
      <c r="A28" s="1" t="s">
        <v>434</v>
      </c>
      <c r="B28" s="5">
        <f>+GETPIVOTDATA("Undergrad Student Credit Hour FTE - New",'FTE Pivot for regular counts'!$A$2,"State","VA","Category",1,"Category2","Four-Year")</f>
        <v>74274.633333333331</v>
      </c>
      <c r="C28" s="360">
        <f>+GETPIVOTDATA("Sum of New-HS % of Total",'Pivot-HS Student % of Undergrad'!$A$3,"State","VA","Category",1,"Category2","Four-Year")</f>
        <v>6.7003584444936116E-4</v>
      </c>
      <c r="D28" s="331">
        <f>+GETPIVOTDATA("Undergrad Student Credit Hour FTE - New",'FTE Pivot for regular counts'!$A$2,"State","VA","Category",2,"Category2","Four-Year")</f>
        <v>27350.283333333333</v>
      </c>
      <c r="E28" s="305">
        <f>+GETPIVOTDATA("Sum of New-HS % of Total",'Pivot-HS Student % of Undergrad'!$A$3,"State","VA","Category",2,"Category2","Four-Year")</f>
        <v>4.7336499256253892E-3</v>
      </c>
      <c r="F28" s="331">
        <f>+GETPIVOTDATA("Undergrad Student Credit Hour FTE - New",'FTE Pivot for regular counts'!$A$2,"State","VA","Category",3,"Category2","Four-Year")</f>
        <v>22850.633333333335</v>
      </c>
      <c r="G28" s="305">
        <f>+GETPIVOTDATA("Sum of New-HS % of Total",'Pivot-HS Student % of Undergrad'!$A$3,"State","VA","Category",3,"Category2","Four-Year")</f>
        <v>2.5323878696287046E-3</v>
      </c>
      <c r="H28" s="331">
        <f>+GETPIVOTDATA("Undergrad Student Credit Hour FTE - New",'FTE Pivot for regular counts'!$A$2,"State","VA","Category",4,"Category2","Four-Year")</f>
        <v>13078.7</v>
      </c>
      <c r="I28" s="360">
        <f>+GETPIVOTDATA("Sum of New-HS % of Total",'Pivot-HS Student % of Undergrad'!$A$3,"State","VA","Category",4,"Category2","Four-Year")</f>
        <v>0</v>
      </c>
      <c r="J28" s="331">
        <f>+GETPIVOTDATA("Undergrad Student Credit Hour FTE - New",'FTE Pivot for regular counts'!$A$2,"State","VA","Category",5,"Category2","Four-Year")</f>
        <v>13042.833333333332</v>
      </c>
      <c r="K28" s="360">
        <f>+GETPIVOTDATA("Sum of New-HS % of Total",'Pivot-HS Student % of Undergrad'!$A$3,"State","VA","Category",5,"Category2","Four-Year")</f>
        <v>5.2647047548462121E-4</v>
      </c>
      <c r="L28" s="331">
        <f>+GETPIVOTDATA("Undergrad Student Credit Hour FTE - New",'FTE Pivot for regular counts'!$A$2,"State","VA","Category",6,"Category2","Four-Year")</f>
        <v>1729.0833333333333</v>
      </c>
      <c r="M28" s="305">
        <f>+GETPIVOTDATA("Sum of New-HS % of Total",'Pivot-HS Student % of Undergrad'!$A$3,"State","VA","Category",6,"Category2","Four-Year")</f>
        <v>2.737481324401176E-3</v>
      </c>
      <c r="N28" s="331">
        <f>+GETPIVOTDATA("Undergrad Student Credit Hour FTE - New",'FTE Pivot for regular counts'!$A$2,"State","VA","Category2","Four-Year")</f>
        <v>152326.16666666669</v>
      </c>
      <c r="O28" s="305">
        <f>+GETPIVOTDATA("Sum of New-HS % of Total",'Pivot-HS Student % of Undergrad'!$A$3,"State","VA","Category2","Group1")</f>
        <v>1.6326807497508088E-3</v>
      </c>
      <c r="Q28" s="25" t="s">
        <v>434</v>
      </c>
      <c r="R28" s="359">
        <f>+GETPIVOTDATA("Sum of Old-HS % of Total",'Pivot-HS Student % of Undergrad'!$A$3,"State","VA","Category",1,"Category2","Four-Year")</f>
        <v>3.2606807970710582E-4</v>
      </c>
      <c r="S28" s="394">
        <f>+'Pivot-HS Student % of Undergrad'!Z110*100</f>
        <v>0</v>
      </c>
      <c r="T28" s="402">
        <f>+GETPIVOTDATA("Sum of Old-HS % of Total",'Pivot-HS Student % of Undergrad'!$A$3,"State","VA","Category",2,"Category2","Four-Year")</f>
        <v>3.5899653700467984E-3</v>
      </c>
      <c r="U28" s="394">
        <f>+'Pivot-HS Student % of Undergrad'!AA110*100</f>
        <v>0.11436845555785907</v>
      </c>
      <c r="V28" s="402">
        <f>+GETPIVOTDATA("Sum of Old-HS % of Total",'Pivot-HS Student % of Undergrad'!$A$3,"State","VA","Category",3,"Category2","Four-Year")</f>
        <v>1.6559844010934162E-3</v>
      </c>
      <c r="W28" s="393">
        <f>+'Pivot-HS Student % of Undergrad'!AB110*100</f>
        <v>8.7640346853528853E-2</v>
      </c>
      <c r="X28" s="415">
        <f>+GETPIVOTDATA("Sum of Old-HS % of Total",'Pivot-HS Student % of Undergrad'!$A$3,"State","VA","Category",4,"Category2","Four-Year")</f>
        <v>0</v>
      </c>
      <c r="Y28" s="406" t="e">
        <f>+'Pivot-HS Student % of Undergrad'!AC110*100</f>
        <v>#VALUE!</v>
      </c>
      <c r="Z28" s="415">
        <f>+GETPIVOTDATA("Sum of Old-HS % of Total",'Pivot-HS Student % of Undergrad'!$A$3,"State","VA","Category",5,"Category2","Four-Year")</f>
        <v>3.5779130620527608E-4</v>
      </c>
      <c r="AA28" s="394">
        <f>+'Pivot-HS Student % of Undergrad'!AD110*100</f>
        <v>1.6867916927934514E-2</v>
      </c>
      <c r="AB28" s="402">
        <f>+GETPIVOTDATA("Sum of Old-HS % of Total",'Pivot-HS Student % of Undergrad'!$A$3,"State","VA","Category",6,"Category2","Four-Year")</f>
        <v>1.72381949147325E-3</v>
      </c>
      <c r="AC28" s="393">
        <f>+'Pivot-HS Student % of Undergrad'!AE110*100</f>
        <v>0.10136618329279259</v>
      </c>
      <c r="AD28" s="402">
        <f>+GETPIVOTDATA("Sum of Old-HS % of Total",'Pivot-HS Student % of Undergrad'!$A$3,"State","VA","Category2","Four-Year")</f>
        <v>1.1001891224639057E-3</v>
      </c>
      <c r="AE28" s="394">
        <f>+'Pivot-HS Student % of Undergrad'!AF110*100</f>
        <v>5.3249162728690312E-2</v>
      </c>
    </row>
    <row r="29" spans="1:31" s="25" customFormat="1" ht="15" customHeight="1">
      <c r="A29" s="3" t="s">
        <v>435</v>
      </c>
      <c r="B29" s="6">
        <f>+GETPIVOTDATA("Undergrad Student Credit Hour FTE - New",'FTE Pivot for regular counts'!$A$2,"State","WV","Category",1,"Category2","Four-Year")</f>
        <v>21207.766666666666</v>
      </c>
      <c r="C29" s="306">
        <f>+GETPIVOTDATA("Sum of New-HS % of Total",'Pivot-HS Student % of Undergrad'!$A$3,"State","WV","Category",1,"Category2","Four-Year")</f>
        <v>4.13999273850932E-3</v>
      </c>
      <c r="D29" s="332">
        <f>+GETPIVOTDATA("Undergrad Student Credit Hour FTE - New",'FTE Pivot for regular counts'!$A$2,"State","WV","Category",2,"Category2","Four-Year")</f>
        <v>0</v>
      </c>
      <c r="E29" s="306">
        <f>+GETPIVOTDATA("Sum of New-HS % of Total",'Pivot-HS Student % of Undergrad'!$A$3,"State","WV","Category",2,"Category2","Four-Year")</f>
        <v>0</v>
      </c>
      <c r="F29" s="332">
        <f>+GETPIVOTDATA("Undergrad Student Credit Hour FTE - New",'FTE Pivot for regular counts'!$A$2,"State","WV","Category",3,"Category2","Four-Year")</f>
        <v>8360.3666666666668</v>
      </c>
      <c r="G29" s="306">
        <f>+GETPIVOTDATA("Sum of New-HS % of Total",'Pivot-HS Student % of Undergrad'!$A$3,"State","WV","Category",3,"Category2","Four-Year")</f>
        <v>1.4608609670229774E-2</v>
      </c>
      <c r="H29" s="332">
        <f>+GETPIVOTDATA("Undergrad Student Credit Hour FTE - New",'FTE Pivot for regular counts'!$A$2,"State","WV","Category",4,"Category2","Four-Year")</f>
        <v>0</v>
      </c>
      <c r="I29" s="306">
        <f>+GETPIVOTDATA("Sum of Old-HS % of Total",'Pivot-HS Student % of Undergrad'!$A$3,"State","WV","Category",4,"Category2","Four-Year")</f>
        <v>0</v>
      </c>
      <c r="J29" s="332">
        <f>+GETPIVOTDATA("Undergrad Student Credit Hour FTE - New",'FTE Pivot for regular counts'!$A$2,"State","WV","Category",5,"Category2","Four-Year")</f>
        <v>3842.6</v>
      </c>
      <c r="K29" s="413">
        <f>+GETPIVOTDATA("Sum of New-HS % of Total",'Pivot-HS Student % of Undergrad'!$A$3,"State","WV","Category",5,"Category2","Four-Year")</f>
        <v>0</v>
      </c>
      <c r="L29" s="332">
        <f>+GETPIVOTDATA("Undergrad Student Credit Hour FTE - New",'FTE Pivot for regular counts'!$A$2,"State","WV","Category",6,"Category2","Four-Year")</f>
        <v>15439.15</v>
      </c>
      <c r="M29" s="306">
        <f>+GETPIVOTDATA("Sum of Old-HS % of Total",'Pivot-HS Student % of Undergrad'!$A$3,"Category",6,"Category2","Four-Year")</f>
        <v>1.3436131498576495E-2</v>
      </c>
      <c r="N29" s="332">
        <f>+GETPIVOTDATA("Undergrad Student Credit Hour FTE - New",'FTE Pivot for regular counts'!$A$2,"State","WV","Category2","Four-Year")</f>
        <v>48849.883333333331</v>
      </c>
      <c r="O29" s="306">
        <f>+GETPIVOTDATA("Sum of New-HS % of Total",'Pivot-HS Student % of Undergrad'!$A$3,"State","WV","Category2","Group1")</f>
        <v>9.3988624333118508E-3</v>
      </c>
      <c r="Q29" s="3" t="s">
        <v>435</v>
      </c>
      <c r="R29" s="361">
        <f>+GETPIVOTDATA("Sum of Old-HS % of Total",'Pivot-HS Student % of Undergrad'!$A$3,"State","WV","Category",1,"Category2","Four-Year")</f>
        <v>4.12334084429101E-3</v>
      </c>
      <c r="S29" s="405">
        <f>+'Pivot-HS Student % of Undergrad'!Z117*100</f>
        <v>0</v>
      </c>
      <c r="T29" s="403">
        <f>+GETPIVOTDATA("Sum of Old-HS % of Total",'Pivot-HS Student % of Undergrad'!$A$3,"State","WV","Category",2,"Category2","Four-Year")</f>
        <v>0</v>
      </c>
      <c r="U29" s="401" t="e">
        <f>+'Pivot-HS Student % of Undergrad'!AA117*100</f>
        <v>#VALUE!</v>
      </c>
      <c r="V29" s="403">
        <f>+GETPIVOTDATA("Sum of Old-HS % of Total",'Pivot-HS Student % of Undergrad'!$A$3,"State","WV","Category",3,"Category2","Four-Year")</f>
        <v>1.5479788706533713E-2</v>
      </c>
      <c r="W29" s="401">
        <f>+'Pivot-HS Student % of Undergrad'!AB117*100</f>
        <v>-8.7117903630393873E-2</v>
      </c>
      <c r="X29" s="403">
        <f>+GETPIVOTDATA("Sum of Old-HS % of Total",'Pivot-HS Student % of Undergrad'!$A$3,"State","WV","Category",4,"Category2","Four-Year")</f>
        <v>0</v>
      </c>
      <c r="Y29" s="401" t="e">
        <f>+'Pivot-HS Student % of Undergrad'!AC117*100</f>
        <v>#VALUE!</v>
      </c>
      <c r="Z29" s="403">
        <f>+GETPIVOTDATA("Sum of New-HS % of Total",'Pivot-HS Student % of Undergrad'!$A$3,"State","VA","Category",5,"Category2","Four-Year")</f>
        <v>5.2647047548462121E-4</v>
      </c>
      <c r="AA29" s="401" t="e">
        <f>+'Pivot-HS Student % of Undergrad'!AD117*100</f>
        <v>#VALUE!</v>
      </c>
      <c r="AB29" s="403">
        <f>+GETPIVOTDATA("Sum of New-HS % of Total",'Pivot-HS Student % of Undergrad'!$A$3,"State","VA","Category",6,"Category2","Four-Year")</f>
        <v>2.737481324401176E-3</v>
      </c>
      <c r="AC29" s="401">
        <f>+'Pivot-HS Student % of Undergrad'!AE117*100</f>
        <v>-0.19095421031567125</v>
      </c>
      <c r="AD29" s="403">
        <f>+GETPIVOTDATA("Sum of Old-HS % of Total",'Pivot-HS Student % of Undergrad'!$A$3,"State","WV","Category2","Four-Year")</f>
        <v>1.0084106644319749E-2</v>
      </c>
      <c r="AE29" s="401">
        <f>+'Pivot-HS Student % of Undergrad'!AF117*100</f>
        <v>-6.8524421100789851E-2</v>
      </c>
    </row>
    <row r="30" spans="1:31" ht="23.25" customHeight="1">
      <c r="A30" s="785" t="s">
        <v>79</v>
      </c>
      <c r="B30" s="787"/>
      <c r="C30" s="787"/>
      <c r="D30" s="787"/>
      <c r="E30" s="787"/>
      <c r="F30" s="787"/>
      <c r="G30" s="787"/>
      <c r="H30" s="787"/>
      <c r="I30" s="788"/>
      <c r="J30" s="788"/>
      <c r="K30" s="788"/>
      <c r="L30" s="788"/>
      <c r="M30" s="788"/>
      <c r="N30" s="788"/>
      <c r="O30" s="788"/>
    </row>
    <row r="31" spans="1:31">
      <c r="A31" s="50"/>
      <c r="B31" s="51"/>
      <c r="C31" s="51"/>
      <c r="D31" s="51"/>
      <c r="E31" s="51"/>
      <c r="F31" s="51"/>
      <c r="G31" s="51"/>
      <c r="H31" s="1"/>
      <c r="J31" s="136"/>
      <c r="K31" s="136"/>
      <c r="L31" s="136"/>
      <c r="M31" s="338"/>
      <c r="N31" s="49"/>
      <c r="O31" s="307" t="s">
        <v>979</v>
      </c>
    </row>
    <row r="32" spans="1:31" ht="18">
      <c r="A32" s="42" t="s">
        <v>923</v>
      </c>
      <c r="B32" s="44"/>
      <c r="C32" s="44"/>
      <c r="D32" s="44"/>
      <c r="E32" s="44"/>
      <c r="F32" s="52"/>
      <c r="G32" s="44"/>
      <c r="H32" s="122"/>
      <c r="I32" s="51"/>
      <c r="J32" s="136"/>
      <c r="K32" s="136"/>
      <c r="L32" s="136"/>
      <c r="M32" s="338"/>
      <c r="N32" s="49"/>
    </row>
    <row r="33" spans="1:14" ht="15.75">
      <c r="A33" s="44"/>
      <c r="B33" s="44"/>
      <c r="C33" s="44"/>
      <c r="D33" s="44"/>
      <c r="E33" s="44"/>
      <c r="F33" s="44"/>
      <c r="G33" s="44"/>
      <c r="H33" s="122"/>
      <c r="I33" s="51"/>
      <c r="J33" s="136"/>
      <c r="K33" s="136"/>
      <c r="L33" s="136"/>
      <c r="M33" s="338"/>
      <c r="N33" s="49"/>
    </row>
    <row r="34" spans="1:14" ht="15.75">
      <c r="A34" s="44" t="s">
        <v>385</v>
      </c>
      <c r="B34" s="44"/>
      <c r="C34" s="44"/>
      <c r="D34" s="44"/>
      <c r="E34" s="44"/>
      <c r="F34" s="44"/>
      <c r="G34" s="44"/>
      <c r="H34" s="122"/>
      <c r="I34" s="51"/>
      <c r="J34" s="136"/>
      <c r="K34" s="136"/>
      <c r="L34" s="136"/>
      <c r="M34" s="338"/>
      <c r="N34" s="49"/>
    </row>
    <row r="35" spans="1:14" ht="15.75">
      <c r="A35" s="44" t="s">
        <v>871</v>
      </c>
      <c r="B35" s="44"/>
      <c r="C35" s="44"/>
      <c r="D35" s="44"/>
      <c r="E35" s="44"/>
      <c r="F35" s="44"/>
      <c r="G35" s="44"/>
      <c r="H35" s="122"/>
    </row>
    <row r="37" spans="1:14" ht="15" customHeight="1">
      <c r="A37" s="53"/>
      <c r="B37" s="53" t="s">
        <v>418</v>
      </c>
      <c r="C37" s="53"/>
      <c r="D37" s="53"/>
      <c r="E37" s="53"/>
      <c r="F37" s="53"/>
      <c r="G37" s="53"/>
      <c r="H37" s="123"/>
    </row>
    <row r="38" spans="1:14" ht="15" customHeight="1">
      <c r="A38" s="54"/>
      <c r="B38" s="47">
        <v>1</v>
      </c>
      <c r="C38" s="47">
        <v>2</v>
      </c>
      <c r="D38" s="47">
        <v>3</v>
      </c>
      <c r="E38" s="47">
        <v>4</v>
      </c>
      <c r="F38" s="47">
        <v>5</v>
      </c>
      <c r="G38" s="55">
        <v>6</v>
      </c>
      <c r="H38" s="105" t="s">
        <v>382</v>
      </c>
    </row>
    <row r="39" spans="1:14" ht="15" customHeight="1">
      <c r="A39" s="1" t="s">
        <v>420</v>
      </c>
      <c r="B39" s="11">
        <f>+GETPIVOTDATA("Graduate FTE - New",'FTE Pivot for regular counts'!$A$2,"Category",1,"Category2","Four-Year")</f>
        <v>207384.48666666666</v>
      </c>
      <c r="C39" s="11">
        <f>+GETPIVOTDATA("Graduate FTE - New",'FTE Pivot for regular counts'!$A$2,"Category",2,"Category2","Four-Year")</f>
        <v>45609.124999999993</v>
      </c>
      <c r="D39" s="11">
        <f>+GETPIVOTDATA("Graduate FTE - New",'FTE Pivot for regular counts'!$A$2,"Category",3,"Category2","Four-Year")</f>
        <v>82296.916666666657</v>
      </c>
      <c r="E39" s="11">
        <f>+GETPIVOTDATA("Graduate FTE - New",'FTE Pivot for regular counts'!$A$2,"Category",4,"Category2","Four-Year")</f>
        <v>24703.249999999996</v>
      </c>
      <c r="F39" s="11">
        <f>+GETPIVOTDATA("Graduate FTE - New",'FTE Pivot for regular counts'!$A$2,"Category",5,"Category2","Four-Year")</f>
        <v>11988.5</v>
      </c>
      <c r="G39" s="12">
        <f>+GETPIVOTDATA("Graduate FTE - New",'FTE Pivot for regular counts'!$A$2,"Category",6,"Category2","Four-Year")</f>
        <v>794.70833333333326</v>
      </c>
      <c r="H39" s="124">
        <f>+GETPIVOTDATA("Graduate FTE - New",'FTE Pivot for regular counts'!$A$2,"Category2","Four-Year")</f>
        <v>372776.98666666669</v>
      </c>
    </row>
    <row r="40" spans="1:14" ht="15" customHeight="1">
      <c r="B40" s="11"/>
      <c r="C40" s="11"/>
      <c r="D40" s="11"/>
      <c r="E40" s="11"/>
      <c r="F40" s="11"/>
      <c r="G40" s="12"/>
      <c r="H40" s="124"/>
    </row>
    <row r="41" spans="1:14" ht="15" customHeight="1">
      <c r="A41" s="1" t="s">
        <v>421</v>
      </c>
      <c r="B41" s="34">
        <f>+GETPIVOTDATA("Graduate FTE - New",'FTE Pivot for regular counts'!$A$2,"State","AL","Category",1,"Category2","Four-Year")</f>
        <v>9305.0833333333339</v>
      </c>
      <c r="C41" s="34">
        <f>+GETPIVOTDATA("Graduate FTE - New",'FTE Pivot for regular counts'!$A$2,"State","AL","Category",2,"Category2","Four-Year")</f>
        <v>880.875</v>
      </c>
      <c r="D41" s="34">
        <f>+GETPIVOTDATA("Graduate FTE - New",'FTE Pivot for regular counts'!$A$2,"State","AL","Category",3,"Category2","Four-Year")</f>
        <v>4400.208333333333</v>
      </c>
      <c r="E41" s="34">
        <f>+GETPIVOTDATA("Graduate FTE - New",'FTE Pivot for regular counts'!$A$2,"State","AL","Category",4,"Category2","Four-Year")</f>
        <v>1949.5</v>
      </c>
      <c r="F41" s="34">
        <f>+GETPIVOTDATA("Graduate FTE - New",'FTE Pivot for regular counts'!$A$2,"State","AL","Category",5,"Category2","Four-Year")</f>
        <v>3958.3333333333335</v>
      </c>
      <c r="G41" s="12">
        <f>+GETPIVOTDATA("Graduate FTE - New",'FTE Pivot for regular counts'!$A$2,"State","AL","Category",6,"Category2","Four-Year")</f>
        <v>0</v>
      </c>
      <c r="H41" s="125">
        <f>+GETPIVOTDATA("Graduate FTE - New",'FTE Pivot for regular counts'!$A$2,"State","AL","Category2","Four-Year")</f>
        <v>20494</v>
      </c>
    </row>
    <row r="42" spans="1:14" ht="15" customHeight="1">
      <c r="A42" s="4" t="s">
        <v>422</v>
      </c>
      <c r="B42" s="34">
        <f>+GETPIVOTDATA("Graduate FTE - New",'FTE Pivot for regular counts'!$A$2,"State","AR","Category",1,"Category2","Four-Year")</f>
        <v>3009.6666666666665</v>
      </c>
      <c r="C42" s="34">
        <f>+GETPIVOTDATA("Graduate FTE - New",'FTE Pivot for regular counts'!$A$2,"State","AR","Category",2,"Category2","Four-Year")</f>
        <v>0</v>
      </c>
      <c r="D42" s="34">
        <f>+GETPIVOTDATA("Graduate FTE - New",'FTE Pivot for regular counts'!$A$2,"State","AR","Category",3,"Category2","Four-Year")</f>
        <v>5296.4166666666661</v>
      </c>
      <c r="E42" s="34">
        <f>+GETPIVOTDATA("Graduate FTE - New",'FTE Pivot for regular counts'!$A$2,"State","AR","Category",4,"Category2","Four-Year")</f>
        <v>869.08333333333337</v>
      </c>
      <c r="F42" s="34">
        <f>+GETPIVOTDATA("Graduate FTE - New",'FTE Pivot for regular counts'!$A$2,"State","AR","Category",5,"Category2","Four-Year")</f>
        <v>428.20833333333331</v>
      </c>
      <c r="G42" s="12">
        <f>+GETPIVOTDATA("Graduate FTE - New",'FTE Pivot for regular counts'!$A$2,"State","AR","Category",6,"Category2","Four-Year")</f>
        <v>92.375</v>
      </c>
      <c r="H42" s="125">
        <f>+GETPIVOTDATA("Graduate FTE - New",'FTE Pivot for regular counts'!$A$2,"State","AR","Category2","Four-Year")</f>
        <v>9695.75</v>
      </c>
    </row>
    <row r="43" spans="1:14" ht="15" customHeight="1">
      <c r="A43" s="1" t="s">
        <v>459</v>
      </c>
      <c r="B43" s="34">
        <f>+GETPIVOTDATA("Graduate FTE - New",'FTE Pivot for regular counts'!$A$2,"State","DE","Category",1,"Category2","Four-Year")</f>
        <v>2180.5833333333335</v>
      </c>
      <c r="C43" s="34">
        <f>+GETPIVOTDATA("Graduate FTE - New",'FTE Pivot for regular counts'!$A$2,"State","DE","Category",2,"Category2","Four-Year")</f>
        <v>0</v>
      </c>
      <c r="D43" s="34">
        <f>+GETPIVOTDATA("Graduate FTE - New",'FTE Pivot for regular counts'!$A$2,"State","DE","Category",3,"Category2","Four-Year")</f>
        <v>0</v>
      </c>
      <c r="E43" s="34">
        <f>+GETPIVOTDATA("Graduate FTE - New",'FTE Pivot for regular counts'!$A$2,"State","DE","Category",4,"Category2","Four-Year")</f>
        <v>259.125</v>
      </c>
      <c r="F43" s="34">
        <f>+GETPIVOTDATA("Graduate FTE - New",'FTE Pivot for regular counts'!$A$2,"State","DE","Category",5,"Category2","Four-Year")</f>
        <v>0</v>
      </c>
      <c r="G43" s="12">
        <f>+GETPIVOTDATA("Graduate FTE - New",'FTE Pivot for regular counts'!$A$2,"State","DE","Category",6,"Category2","Four-Year")</f>
        <v>0</v>
      </c>
      <c r="H43" s="125">
        <f>+GETPIVOTDATA("Graduate FTE - New",'FTE Pivot for regular counts'!$A$2,"State","DE","Category2","Four-Year")</f>
        <v>2439.7083333333335</v>
      </c>
      <c r="N43" s="107"/>
    </row>
    <row r="44" spans="1:14" ht="15" customHeight="1">
      <c r="A44" s="1" t="s">
        <v>423</v>
      </c>
      <c r="B44" s="34">
        <f>+GETPIVOTDATA("Graduate FTE - New",'FTE Pivot for regular counts'!$A$2,"State","FL","Category",1,"Category2","Four-Year")</f>
        <v>42523.458333333336</v>
      </c>
      <c r="C44" s="34">
        <f>+GETPIVOTDATA("Graduate FTE - New",'FTE Pivot for regular counts'!$A$2,"State","FL","Category",2,"Category2","Four-Year")</f>
        <v>3274.875</v>
      </c>
      <c r="D44" s="34">
        <f>+GETPIVOTDATA("Graduate FTE - New",'FTE Pivot for regular counts'!$A$2,"State","FL","Category",3,"Category2","Four-Year")</f>
        <v>4660.708333333333</v>
      </c>
      <c r="E44" s="34">
        <f>+GETPIVOTDATA("Graduate FTE - New",'FTE Pivot for regular counts'!$A$2,"State","FL","Category",4,"Category2","Four-Year")</f>
        <v>897.83333333333337</v>
      </c>
      <c r="F44" s="34">
        <f>+GETPIVOTDATA("Graduate FTE - New",'FTE Pivot for regular counts'!$A$2,"State","FL","Category",5,"Category2","Four-Year")</f>
        <v>0</v>
      </c>
      <c r="G44" s="12">
        <f>+GETPIVOTDATA("Graduate FTE - New",'FTE Pivot for regular counts'!$A$2,"State","FL","Category",6,"Category2","Four-Year")</f>
        <v>0</v>
      </c>
      <c r="H44" s="125">
        <f>+GETPIVOTDATA("Graduate FTE - New",'FTE Pivot for regular counts'!$A$2,"State","FL","Category2","Four-Year")</f>
        <v>51356.875000000007</v>
      </c>
    </row>
    <row r="45" spans="1:14" ht="15" customHeight="1">
      <c r="B45" s="34"/>
      <c r="C45" s="34"/>
      <c r="D45" s="34"/>
      <c r="E45" s="34"/>
      <c r="F45" s="34"/>
      <c r="G45" s="12"/>
      <c r="H45" s="125"/>
    </row>
    <row r="46" spans="1:14" ht="15" customHeight="1">
      <c r="A46" s="1" t="s">
        <v>424</v>
      </c>
      <c r="B46" s="34">
        <f>+GETPIVOTDATA("Graduate FTE - New",'FTE Pivot for regular counts'!$A$2,"State","GA","Category",1,"Category2","Four-Year")</f>
        <v>18413.333333333332</v>
      </c>
      <c r="C46" s="34">
        <f>+GETPIVOTDATA("Graduate FTE - New",'FTE Pivot for regular counts'!$A$2,"State","GA","Category",2,"Category2","Four-Year")</f>
        <v>9385.0833333333339</v>
      </c>
      <c r="D46" s="34">
        <f>+GETPIVOTDATA("Graduate FTE - New",'FTE Pivot for regular counts'!$A$2,"State","GA","Category",3,"Category2","Four-Year")</f>
        <v>4469.7916666666661</v>
      </c>
      <c r="E46" s="34">
        <f>+GETPIVOTDATA("Graduate FTE - New",'FTE Pivot for regular counts'!$A$2,"State","GA","Category",4,"Category2","Four-Year")</f>
        <v>4331.625</v>
      </c>
      <c r="F46" s="34">
        <f>+GETPIVOTDATA("Graduate FTE - New",'FTE Pivot for regular counts'!$A$2,"State","GA","Category",5,"Category2","Four-Year")</f>
        <v>1723.4999999999998</v>
      </c>
      <c r="G46" s="12">
        <f>+GETPIVOTDATA("Graduate FTE - New",'FTE Pivot for regular counts'!$A$2,"State","GA","Category",6,"Category2","Four-Year")</f>
        <v>124.875</v>
      </c>
      <c r="H46" s="125">
        <f>+GETPIVOTDATA("Graduate FTE - New",'FTE Pivot for regular counts'!$A$2,"State","GA","Category2","Four-Year")</f>
        <v>38448.208333333328</v>
      </c>
    </row>
    <row r="47" spans="1:14" ht="15" customHeight="1">
      <c r="A47" s="1" t="s">
        <v>425</v>
      </c>
      <c r="B47" s="34">
        <f>+GETPIVOTDATA("Graduate FTE - New",'FTE Pivot for regular counts'!$A$2,"State","KY","Category",1,"Category2","Four-Year")</f>
        <v>6718.2083333333339</v>
      </c>
      <c r="C47" s="34">
        <f>+GETPIVOTDATA("Graduate FTE - New",'FTE Pivot for regular counts'!$A$2,"State","KY","Category",2,"Category2","Four-Year")</f>
        <v>0</v>
      </c>
      <c r="D47" s="34">
        <f>+GETPIVOTDATA("Graduate FTE - New",'FTE Pivot for regular counts'!$A$2,"State","KY","Category",3,"Category2","Four-Year")</f>
        <v>4728.625</v>
      </c>
      <c r="E47" s="34">
        <f>+GETPIVOTDATA("Graduate FTE - New",'FTE Pivot for regular counts'!$A$2,"State","KY","Category",4,"Category2","Four-Year")</f>
        <v>2560.5416666666665</v>
      </c>
      <c r="F47" s="34">
        <f>+GETPIVOTDATA("Graduate FTE - New",'FTE Pivot for regular counts'!$A$2,"State","KY","Category",5,"Category2","Four-Year")</f>
        <v>114.25</v>
      </c>
      <c r="G47" s="12">
        <f>+GETPIVOTDATA("Graduate FTE - New",'FTE Pivot for regular counts'!$A$2,"State","KY","Category",6,"Category2","Four-Year")</f>
        <v>0</v>
      </c>
      <c r="H47" s="125">
        <f>+GETPIVOTDATA("Graduate FTE - New",'FTE Pivot for regular counts'!$A$2,"State","KY","Category2","Four-Year")</f>
        <v>14121.625</v>
      </c>
    </row>
    <row r="48" spans="1:14" ht="15" customHeight="1">
      <c r="A48" s="1" t="s">
        <v>426</v>
      </c>
      <c r="B48" s="34">
        <f>+GETPIVOTDATA("Graduate FTE - New",'FTE Pivot for regular counts'!$A$2,"State","LA","Category",1,"Category2","Four-Year")</f>
        <v>4666.875</v>
      </c>
      <c r="C48" s="34">
        <f>+GETPIVOTDATA("Graduate FTE - New",'FTE Pivot for regular counts'!$A$2,"State","LA","Category",2,"Category2","Four-Year")</f>
        <v>4285.083333333333</v>
      </c>
      <c r="D48" s="34">
        <f>+GETPIVOTDATA("Graduate FTE - New",'FTE Pivot for regular counts'!$A$2,"State","LA","Category",3,"Category2","Four-Year")</f>
        <v>2953.9583333333335</v>
      </c>
      <c r="E48" s="34">
        <f>+GETPIVOTDATA("Graduate FTE - New",'FTE Pivot for regular counts'!$A$2,"State","LA","Category",4,"Category2","Four-Year")</f>
        <v>2808.4166666666665</v>
      </c>
      <c r="F48" s="34">
        <f>+GETPIVOTDATA("Graduate FTE - New",'FTE Pivot for regular counts'!$A$2,"State","LA","Category",5,"Category2","Four-Year")</f>
        <v>0</v>
      </c>
      <c r="G48" s="12">
        <f>+GETPIVOTDATA("Graduate FTE - New",'FTE Pivot for regular counts'!$A$2,"State","LA","Category",6,"Category2","Four-Year")</f>
        <v>0</v>
      </c>
      <c r="H48" s="125">
        <f>+GETPIVOTDATA("Graduate FTE - New",'FTE Pivot for regular counts'!$A$2,"State","LA","Category2","Four-Year")</f>
        <v>14714.333333333332</v>
      </c>
    </row>
    <row r="49" spans="1:13" ht="15" customHeight="1">
      <c r="A49" s="1" t="s">
        <v>427</v>
      </c>
      <c r="B49" s="34">
        <f>+GETPIVOTDATA("Graduate FTE - New",'FTE Pivot for regular counts'!$A$2,"State","MD","Category",1,"Category2","Four-Year")</f>
        <v>6453.1116666666667</v>
      </c>
      <c r="C49" s="34">
        <f>+GETPIVOTDATA("Graduate FTE - New",'FTE Pivot for regular counts'!$A$2,"State","MD","Category",2,"Category2","Four-Year")</f>
        <v>1296.3333333333333</v>
      </c>
      <c r="D49" s="34">
        <f>+GETPIVOTDATA("Graduate FTE - New",'FTE Pivot for regular counts'!$A$2,"State","MD","Category",3,"Category2","Four-Year")</f>
        <v>2860.3333333333335</v>
      </c>
      <c r="E49" s="34">
        <f>+GETPIVOTDATA("Graduate FTE - New",'FTE Pivot for regular counts'!$A$2,"State","MD","Category",4,"Category2","Four-Year")</f>
        <v>4686</v>
      </c>
      <c r="F49" s="34">
        <f>+GETPIVOTDATA("Graduate FTE - New",'FTE Pivot for regular counts'!$A$2,"State","MD","Category",5,"Category2","Four-Year")</f>
        <v>0</v>
      </c>
      <c r="G49" s="12">
        <f>+GETPIVOTDATA("Graduate FTE - New",'FTE Pivot for regular counts'!$A$2,"State","MD","Category",6,"Category2","Four-Year")</f>
        <v>80.166666666666671</v>
      </c>
      <c r="H49" s="125">
        <f>+GETPIVOTDATA("Graduate FTE - New",'FTE Pivot for regular counts'!$A$2,"State","MD","Category2","Four-Year")</f>
        <v>15375.945</v>
      </c>
    </row>
    <row r="50" spans="1:13" ht="15" customHeight="1">
      <c r="B50" s="34"/>
      <c r="C50" s="34"/>
      <c r="D50" s="34"/>
      <c r="E50" s="34"/>
      <c r="F50" s="34"/>
      <c r="G50" s="12"/>
      <c r="H50" s="125"/>
    </row>
    <row r="51" spans="1:13" ht="15" customHeight="1">
      <c r="A51" s="1" t="s">
        <v>428</v>
      </c>
      <c r="B51" s="34">
        <f>+GETPIVOTDATA("Graduate FTE - New",'FTE Pivot for regular counts'!$A$2,"State","MS","Category",1,"Category2","Four-Year")</f>
        <v>5075.0416666666661</v>
      </c>
      <c r="C51" s="34">
        <f>+GETPIVOTDATA("Graduate FTE - New",'FTE Pivot for regular counts'!$A$2,"State","MS","Category",2,"Category2","Four-Year")</f>
        <v>3486.0833333333335</v>
      </c>
      <c r="D51" s="34">
        <f>+GETPIVOTDATA("Graduate FTE - New",'FTE Pivot for regular counts'!$A$2,"State","MS","Category",3,"Category2","Four-Year")</f>
        <v>0</v>
      </c>
      <c r="E51" s="34">
        <f>+GETPIVOTDATA("Graduate FTE - New",'FTE Pivot for regular counts'!$A$2,"State","MS","Category",4,"Category2","Four-Year")</f>
        <v>1281.2083333333333</v>
      </c>
      <c r="F51" s="34">
        <f>+GETPIVOTDATA("Graduate FTE - New",'FTE Pivot for regular counts'!$A$2,"State","MS","Category",5,"Category2","Four-Year")</f>
        <v>183.875</v>
      </c>
      <c r="G51" s="12">
        <f>+GETPIVOTDATA("Graduate FTE - New",'FTE Pivot for regular counts'!$A$2,"State","MS","Category",6,"Category2","Four-Year")</f>
        <v>0</v>
      </c>
      <c r="H51" s="125">
        <f>+GETPIVOTDATA("Graduate FTE - New",'FTE Pivot for regular counts'!$A$2,"State","MS","Category2","Four-Year")</f>
        <v>10026.208333333334</v>
      </c>
    </row>
    <row r="52" spans="1:13" ht="15" customHeight="1">
      <c r="A52" s="1" t="s">
        <v>429</v>
      </c>
      <c r="B52" s="34">
        <f>+GETPIVOTDATA("Graduate FTE - New",'FTE Pivot for regular counts'!$A$2,"State","NC","Category",1,"Category2","Four-Year")</f>
        <v>13131.375</v>
      </c>
      <c r="C52" s="34">
        <f>+GETPIVOTDATA("Graduate FTE - New",'FTE Pivot for regular counts'!$A$2,"State","NC","Category",2,"Category2","Four-Year")</f>
        <v>5919.1666666666661</v>
      </c>
      <c r="D52" s="34">
        <f>+GETPIVOTDATA("Graduate FTE - New",'FTE Pivot for regular counts'!$A$2,"State","NC","Category",3,"Category2","Four-Year")</f>
        <v>11414.875</v>
      </c>
      <c r="E52" s="34">
        <f>+GETPIVOTDATA("Graduate FTE - New",'FTE Pivot for regular counts'!$A$2,"State","NC","Category",4,"Category2","Four-Year")</f>
        <v>377.33333333333331</v>
      </c>
      <c r="F52" s="34">
        <f>+GETPIVOTDATA("Graduate FTE - New",'FTE Pivot for regular counts'!$A$2,"State","NC","Category",5,"Category2","Four-Year")</f>
        <v>877.45833333333337</v>
      </c>
      <c r="G52" s="12">
        <f>+GETPIVOTDATA("Graduate FTE - New",'FTE Pivot for regular counts'!$A$2,"State","NC","Category",6,"Category2","Four-Year")</f>
        <v>56.916666666666671</v>
      </c>
      <c r="H52" s="125">
        <f>+GETPIVOTDATA("Graduate FTE - New",'FTE Pivot for regular counts'!$A$2,"State","NC","Category2","Four-Year")</f>
        <v>31777.124999999996</v>
      </c>
    </row>
    <row r="53" spans="1:13" ht="15" customHeight="1">
      <c r="A53" s="1" t="s">
        <v>430</v>
      </c>
      <c r="B53" s="34">
        <f>+GETPIVOTDATA("Graduate FTE - New",'FTE Pivot for regular counts'!$A$2,"State","OK","Category",1,"Category2","Four-Year")</f>
        <v>7818.75</v>
      </c>
      <c r="C53" s="34">
        <f>+GETPIVOTDATA("Graduate FTE - New",'FTE Pivot for regular counts'!$A$2,"State","OK","Category",2,"Category2","Four-Year")</f>
        <v>0</v>
      </c>
      <c r="D53" s="34">
        <f>+GETPIVOTDATA("Graduate FTE - New",'FTE Pivot for regular counts'!$A$2,"State","OK","Category",3,"Category2","Four-Year")</f>
        <v>1837.2916666666665</v>
      </c>
      <c r="E53" s="34">
        <f>+GETPIVOTDATA("Graduate FTE - New",'FTE Pivot for regular counts'!$A$2,"State","OK","Category",4,"Category2","Four-Year")</f>
        <v>0</v>
      </c>
      <c r="F53" s="34">
        <f>+GETPIVOTDATA("Graduate FTE - New",'FTE Pivot for regular counts'!$A$2,"State","OK","Category",5,"Category2","Four-Year")</f>
        <v>1950.5416666666665</v>
      </c>
      <c r="G53" s="12">
        <f>+GETPIVOTDATA("Graduate FTE - New",'FTE Pivot for regular counts'!$A$2,"State","OK","Category",6,"Category2","Four-Year")</f>
        <v>0</v>
      </c>
      <c r="H53" s="125">
        <f>+GETPIVOTDATA("Graduate FTE - New",'FTE Pivot for regular counts'!$A$2,"State","OK","Category2","Four-Year")</f>
        <v>11606.583333333332</v>
      </c>
    </row>
    <row r="54" spans="1:13" ht="15" customHeight="1">
      <c r="A54" s="1" t="s">
        <v>431</v>
      </c>
      <c r="B54" s="34">
        <f>+GETPIVOTDATA("Graduate FTE - New",'FTE Pivot for regular counts'!$A$2,"State","SC","Category",1,"Category2","Four-Year")</f>
        <v>7462.2083333333339</v>
      </c>
      <c r="C54" s="34">
        <f>+GETPIVOTDATA("Graduate FTE - New",'FTE Pivot for regular counts'!$A$2,"State","SC","Category",2,"Category2","Four-Year")</f>
        <v>0</v>
      </c>
      <c r="D54" s="34">
        <f>+GETPIVOTDATA("Graduate FTE - New",'FTE Pivot for regular counts'!$A$2,"State","SC","Category",3,"Category2","Four-Year")</f>
        <v>1518.0416666666665</v>
      </c>
      <c r="E54" s="34">
        <f>+GETPIVOTDATA("Graduate FTE - New",'FTE Pivot for regular counts'!$A$2,"State","SC","Category",4,"Category2","Four-Year")</f>
        <v>649.58333333333337</v>
      </c>
      <c r="F54" s="34">
        <f>+GETPIVOTDATA("Graduate FTE - New",'FTE Pivot for regular counts'!$A$2,"State","SC","Category",5,"Category2","Four-Year")</f>
        <v>981.875</v>
      </c>
      <c r="G54" s="12">
        <f>+GETPIVOTDATA("Graduate FTE - New",'FTE Pivot for regular counts'!$A$2,"State","SC","Category",6,"Category2","Four-Year")</f>
        <v>157.29166666666666</v>
      </c>
      <c r="H54" s="125">
        <f>+GETPIVOTDATA("Graduate FTE - New",'FTE Pivot for regular counts'!$A$2,"State","SC","Category2","Four-Year")</f>
        <v>10769</v>
      </c>
    </row>
    <row r="55" spans="1:13" ht="15" customHeight="1">
      <c r="B55" s="34"/>
      <c r="C55" s="34"/>
      <c r="D55" s="34"/>
      <c r="E55" s="34"/>
      <c r="F55" s="34"/>
      <c r="G55" s="12"/>
      <c r="H55" s="125"/>
    </row>
    <row r="56" spans="1:13" ht="15" customHeight="1">
      <c r="A56" s="1" t="s">
        <v>432</v>
      </c>
      <c r="B56" s="34">
        <f>+GETPIVOTDATA("Graduate FTE - New",'FTE Pivot for regular counts'!$A$2,"State","TN","Category",1,"Category2","Four-Year")</f>
        <v>8444.9583333333339</v>
      </c>
      <c r="C56" s="34">
        <f>+GETPIVOTDATA("Graduate FTE - New",'FTE Pivot for regular counts'!$A$2,"State","TN","Category",2,"Category2","Four-Year")</f>
        <v>0</v>
      </c>
      <c r="D56" s="34">
        <f>+GETPIVOTDATA("Graduate FTE - New",'FTE Pivot for regular counts'!$A$2,"State","TN","Category",3,"Category2","Four-Year")</f>
        <v>7386.375</v>
      </c>
      <c r="E56" s="34">
        <f>+GETPIVOTDATA("Graduate FTE - New",'FTE Pivot for regular counts'!$A$2,"State","TN","Category",4,"Category2","Four-Year")</f>
        <v>563.875</v>
      </c>
      <c r="F56" s="34">
        <f>+GETPIVOTDATA("Graduate FTE - New",'FTE Pivot for regular counts'!$A$2,"State","TN","Category",5,"Category2","Four-Year")</f>
        <v>325.33333333333331</v>
      </c>
      <c r="G56" s="12">
        <f>+GETPIVOTDATA("Graduate FTE - New",'FTE Pivot for regular counts'!$A$2,"State","TN","Category",6,"Category2","Four-Year")</f>
        <v>0</v>
      </c>
      <c r="H56" s="125">
        <f>+GETPIVOTDATA("Graduate FTE - New",'FTE Pivot for regular counts'!$A$2,"State","TN","Category2","Four-Year")</f>
        <v>16720.541666666668</v>
      </c>
    </row>
    <row r="57" spans="1:13" ht="15" customHeight="1">
      <c r="A57" s="1" t="s">
        <v>433</v>
      </c>
      <c r="B57" s="34">
        <f>+GETPIVOTDATA("Graduate FTE - New",'FTE Pivot for regular counts'!$A$2,"State","TX","Category",1,"Category2","Four-Year")</f>
        <v>42659.624999999993</v>
      </c>
      <c r="C57" s="34">
        <f>+GETPIVOTDATA("Graduate FTE - New",'FTE Pivot for regular counts'!$A$2,"State","TX","Category",2,"Category2","Four-Year")</f>
        <v>8449.2083333333321</v>
      </c>
      <c r="D57" s="34">
        <f>+GETPIVOTDATA("Graduate FTE - New",'FTE Pivot for regular counts'!$A$2,"State","TX","Category",3,"Category2","Four-Year")</f>
        <v>26153.791666666668</v>
      </c>
      <c r="E57" s="34">
        <f>+GETPIVOTDATA("Graduate FTE - New",'FTE Pivot for regular counts'!$A$2,"State","TX","Category",4,"Category2","Four-Year")</f>
        <v>2335.1666666666665</v>
      </c>
      <c r="F57" s="34">
        <f>+GETPIVOTDATA("Graduate FTE - New",'FTE Pivot for regular counts'!$A$2,"State","TX","Category",5,"Category2","Four-Year")</f>
        <v>228.75</v>
      </c>
      <c r="G57" s="12">
        <f>+GETPIVOTDATA("Graduate FTE - New",'FTE Pivot for regular counts'!$A$2,"State","TX","Category",6,"Category2","Four-Year")</f>
        <v>36.416666666666664</v>
      </c>
      <c r="H57" s="125">
        <f>+GETPIVOTDATA("Graduate FTE - New",'FTE Pivot for regular counts'!$A$2,"State","TX","Category2","Four-Year")</f>
        <v>79862.958333333343</v>
      </c>
    </row>
    <row r="58" spans="1:13" ht="15" customHeight="1">
      <c r="A58" s="1" t="s">
        <v>434</v>
      </c>
      <c r="B58" s="34">
        <f>+GETPIVOTDATA("Graduate FTE - New",'FTE Pivot for regular counts'!$A$2,"State","VA","Category",1,"Category2","Four-Year")</f>
        <v>24532.833333333332</v>
      </c>
      <c r="C58" s="34">
        <f>+GETPIVOTDATA("Graduate FTE - New",'FTE Pivot for regular counts'!$A$2,"State","VA","Category",2,"Category2","Four-Year")</f>
        <v>8632.4166666666661</v>
      </c>
      <c r="D58" s="34">
        <f>+GETPIVOTDATA("Graduate FTE - New",'FTE Pivot for regular counts'!$A$2,"State","VA","Category",3,"Category2","Four-Year")</f>
        <v>1979.9583333333335</v>
      </c>
      <c r="E58" s="34">
        <f>+GETPIVOTDATA("Graduate FTE - New",'FTE Pivot for regular counts'!$A$2,"State","VA","Category",4,"Category2","Four-Year")</f>
        <v>1133.9583333333333</v>
      </c>
      <c r="F58" s="34">
        <f>+GETPIVOTDATA("Graduate FTE - New",'FTE Pivot for regular counts'!$A$2,"State","VA","Category",5,"Category2","Four-Year")</f>
        <v>974.625</v>
      </c>
      <c r="G58" s="12">
        <f>+GETPIVOTDATA("Graduate FTE - New",'FTE Pivot for regular counts'!$A$2,"State","VA","Category",6,"Category2","Four-Year")</f>
        <v>0</v>
      </c>
      <c r="H58" s="125">
        <f>+GETPIVOTDATA("Graduate FTE - New",'FTE Pivot for regular counts'!$A$2,"State","VA","Category2","Four-Year")</f>
        <v>37253.791666666672</v>
      </c>
    </row>
    <row r="59" spans="1:13" ht="15" customHeight="1">
      <c r="A59" s="3" t="s">
        <v>435</v>
      </c>
      <c r="B59" s="13">
        <f>+GETPIVOTDATA("Graduate FTE - New",'FTE Pivot for regular counts'!$A$2,"State","WV","Category",1,"Category2","Four-Year")</f>
        <v>4989.375</v>
      </c>
      <c r="C59" s="13">
        <f>+GETPIVOTDATA("Graduate FTE - New",'FTE Pivot for regular counts'!$A$2,"State","WV","Category",2,"Category2","Four-Year")</f>
        <v>0</v>
      </c>
      <c r="D59" s="13">
        <f>+GETPIVOTDATA("Graduate FTE - New",'FTE Pivot for regular counts'!$A$2,"State","WV","Category",3,"Category2","Four-Year")</f>
        <v>2636.5416666666665</v>
      </c>
      <c r="E59" s="13">
        <f>+GETPIVOTDATA("Graduate FTE - New",'FTE Pivot for regular counts'!$A$2,"State","WV","Category",4,"Category2","Four-Year")</f>
        <v>0</v>
      </c>
      <c r="F59" s="13">
        <f>+GETPIVOTDATA("Graduate FTE - New",'FTE Pivot for regular counts'!$A$2,"State","WV","Category",5,"Category2","Four-Year")</f>
        <v>241.75</v>
      </c>
      <c r="G59" s="14">
        <f>+GETPIVOTDATA("Graduate FTE - New",'FTE Pivot for regular counts'!$A$2,"State","WV","Category",6,"Category2","Four-Year")</f>
        <v>246.66666666666666</v>
      </c>
      <c r="H59" s="126">
        <f>+GETPIVOTDATA("Graduate FTE - New",'FTE Pivot for regular counts'!$A$2,"State","WV","Category2","Four-Year")</f>
        <v>8114.333333333333</v>
      </c>
    </row>
    <row r="60" spans="1:13" s="25" customFormat="1" ht="9.9499999999999993" customHeight="1">
      <c r="A60" s="77"/>
      <c r="B60" s="16"/>
      <c r="C60" s="16"/>
      <c r="D60" s="16"/>
      <c r="E60" s="16"/>
      <c r="F60" s="16"/>
      <c r="G60" s="16"/>
      <c r="H60" s="121"/>
      <c r="I60" s="15"/>
      <c r="J60" s="115"/>
      <c r="K60" s="115"/>
      <c r="L60" s="115"/>
      <c r="M60" s="115"/>
    </row>
    <row r="61" spans="1:13" ht="46.5" customHeight="1">
      <c r="A61" s="785" t="s">
        <v>79</v>
      </c>
      <c r="B61" s="786"/>
      <c r="C61" s="786"/>
      <c r="D61" s="786"/>
      <c r="E61" s="786"/>
      <c r="F61" s="786"/>
      <c r="G61" s="786"/>
      <c r="H61" s="786"/>
    </row>
    <row r="62" spans="1:13">
      <c r="A62" s="50"/>
      <c r="B62" s="51"/>
      <c r="C62" s="51"/>
      <c r="D62" s="51"/>
      <c r="E62" s="51"/>
      <c r="F62" s="51"/>
      <c r="G62" s="51"/>
      <c r="H62" s="307" t="s">
        <v>979</v>
      </c>
    </row>
    <row r="63" spans="1:13" ht="18">
      <c r="A63" s="42" t="s">
        <v>924</v>
      </c>
      <c r="B63" s="42"/>
      <c r="C63" s="42"/>
      <c r="D63" s="42"/>
      <c r="E63" s="42"/>
      <c r="F63" s="42"/>
      <c r="G63" s="42"/>
      <c r="H63" s="127"/>
    </row>
    <row r="64" spans="1:13" ht="15.75">
      <c r="A64" s="56"/>
      <c r="B64" s="44"/>
      <c r="C64" s="44"/>
      <c r="D64" s="44"/>
      <c r="E64" s="44"/>
      <c r="F64" s="44"/>
      <c r="G64" s="44"/>
      <c r="H64" s="122"/>
    </row>
    <row r="65" spans="1:24" ht="15.75">
      <c r="A65" s="44" t="s">
        <v>388</v>
      </c>
      <c r="B65" s="44"/>
      <c r="C65" s="44"/>
      <c r="D65" s="44"/>
      <c r="E65" s="44"/>
      <c r="F65" s="44"/>
      <c r="G65" s="44"/>
      <c r="H65" s="122"/>
    </row>
    <row r="66" spans="1:24" ht="15.75">
      <c r="A66" s="44" t="s">
        <v>871</v>
      </c>
      <c r="B66" s="44"/>
      <c r="C66" s="44"/>
      <c r="D66" s="44"/>
      <c r="E66" s="44"/>
      <c r="F66" s="44"/>
      <c r="G66" s="44"/>
      <c r="H66" s="122"/>
    </row>
    <row r="67" spans="1:24" ht="15.75">
      <c r="A67" s="44"/>
      <c r="B67" s="44"/>
      <c r="C67" s="44"/>
      <c r="D67" s="44"/>
      <c r="E67" s="44"/>
      <c r="F67" s="44"/>
      <c r="G67" s="44"/>
      <c r="H67" s="122"/>
      <c r="Q67" s="139" t="s">
        <v>390</v>
      </c>
      <c r="R67" s="391" t="s">
        <v>982</v>
      </c>
      <c r="S67" s="139"/>
      <c r="T67" s="139"/>
      <c r="U67" s="139"/>
      <c r="V67" s="139"/>
      <c r="W67" s="139"/>
    </row>
    <row r="68" spans="1:24" ht="15" customHeight="1">
      <c r="A68" s="53"/>
      <c r="B68" s="53" t="s">
        <v>418</v>
      </c>
      <c r="C68" s="53"/>
      <c r="D68" s="53"/>
      <c r="E68" s="53"/>
      <c r="F68" s="53"/>
      <c r="G68" s="53"/>
      <c r="H68" s="123"/>
      <c r="Q68" s="317" t="s">
        <v>418</v>
      </c>
      <c r="R68" s="318"/>
      <c r="S68" s="318"/>
      <c r="T68" s="318"/>
      <c r="U68" s="318"/>
      <c r="V68" s="318"/>
      <c r="W68" s="140"/>
    </row>
    <row r="69" spans="1:24" ht="15" customHeight="1">
      <c r="A69" s="54"/>
      <c r="B69" s="47">
        <v>1</v>
      </c>
      <c r="C69" s="47">
        <v>2</v>
      </c>
      <c r="D69" s="47">
        <v>3</v>
      </c>
      <c r="E69" s="47">
        <v>4</v>
      </c>
      <c r="F69" s="47">
        <v>5</v>
      </c>
      <c r="G69" s="55">
        <v>6</v>
      </c>
      <c r="H69" s="105" t="s">
        <v>382</v>
      </c>
      <c r="Q69" s="141">
        <v>1</v>
      </c>
      <c r="R69" s="141">
        <v>2</v>
      </c>
      <c r="S69" s="141">
        <v>3</v>
      </c>
      <c r="T69" s="141">
        <v>4</v>
      </c>
      <c r="U69" s="141">
        <v>5</v>
      </c>
      <c r="V69" s="142">
        <v>6</v>
      </c>
      <c r="W69" s="143" t="s">
        <v>382</v>
      </c>
    </row>
    <row r="70" spans="1:24" ht="15" customHeight="1">
      <c r="A70" s="1" t="s">
        <v>420</v>
      </c>
      <c r="B70" s="11">
        <f>+'NEW-Tables 80-86'!B9+'NEW-Tables 80-86'!B39</f>
        <v>1012003.57</v>
      </c>
      <c r="C70" s="11">
        <f>+'NEW-Tables 80-86'!D9+'NEW-Tables 80-86'!C39</f>
        <v>237054.10833333334</v>
      </c>
      <c r="D70" s="11">
        <f>+'NEW-Tables 80-86'!F9+'NEW-Tables 80-86'!D39</f>
        <v>597011.71666666667</v>
      </c>
      <c r="E70" s="11">
        <f>+'NEW-Tables 80-86'!H9+'NEW-Tables 80-86'!E39</f>
        <v>213107.65</v>
      </c>
      <c r="F70" s="11">
        <f>+'NEW-Tables 80-86'!J9+'NEW-Tables 80-86'!F39</f>
        <v>119939.70000000001</v>
      </c>
      <c r="G70" s="12">
        <f>+'NEW-Tables 80-86'!L9+'NEW-Tables 80-86'!G39</f>
        <v>68071.124999999985</v>
      </c>
      <c r="H70" s="124">
        <f>+'NEW-Tables 80-86'!N9+'NEW-Tables 80-86'!H39</f>
        <v>2247187.87</v>
      </c>
      <c r="Q70" s="139">
        <f>+GETPIVOTDATA("Grand Total FTE - Old",'FTE Pivot for regular counts'!$A$2,"Category",1,"Category2","Four-Year")</f>
        <v>988878.16833333333</v>
      </c>
      <c r="R70" s="139">
        <f>+GETPIVOTDATA("Grand Total FTE - Old",'FTE Pivot for regular counts'!$A$2,"Category",2,"Category2","Four-Year")</f>
        <v>226911.7111111111</v>
      </c>
      <c r="S70" s="139">
        <f>+GETPIVOTDATA("Grand Total FTE - Old",'FTE Pivot for regular counts'!$A$2,"Category",3,"Category2","Four-Year")</f>
        <v>580146.23333333328</v>
      </c>
      <c r="T70" s="139">
        <f>+GETPIVOTDATA("Grand Total FTE - Old",'FTE Pivot for regular counts'!$A$2,"Category",4,"Category2","Four-Year")</f>
        <v>207459.78416666668</v>
      </c>
      <c r="U70" s="139">
        <f>+GETPIVOTDATA("Grand Total FTE - Old",'FTE Pivot for regular counts'!$A$2,"Category",5,"Category2","Four-Year")</f>
        <v>113825.13333333333</v>
      </c>
      <c r="V70" s="139">
        <f>+GETPIVOTDATA("Grand Total FTE - Old",'FTE Pivot for regular counts'!$A$2,"Category",6,"Category2","Four-Year")</f>
        <v>64309.813333333339</v>
      </c>
      <c r="W70" s="139">
        <f>+GETPIVOTDATA("Grand Total FTE - Old",'FTE Pivot for regular counts'!$A$2,"Category2","Four-Year")</f>
        <v>2181530.8436111109</v>
      </c>
      <c r="X70" s="1" t="s">
        <v>420</v>
      </c>
    </row>
    <row r="71" spans="1:24" ht="15" customHeight="1">
      <c r="B71" s="11"/>
      <c r="C71" s="11"/>
      <c r="D71" s="11"/>
      <c r="E71" s="11"/>
      <c r="F71" s="11"/>
      <c r="G71" s="12"/>
      <c r="H71" s="124"/>
      <c r="Q71" s="139"/>
      <c r="R71" s="139"/>
      <c r="S71" s="139"/>
      <c r="T71" s="139"/>
      <c r="U71" s="139"/>
      <c r="V71" s="139"/>
      <c r="W71" s="139"/>
    </row>
    <row r="72" spans="1:24" ht="15" customHeight="1">
      <c r="A72" s="1" t="s">
        <v>421</v>
      </c>
      <c r="B72" s="34">
        <f>+'NEW-Tables 80-86'!B11+'NEW-Tables 80-86'!B41</f>
        <v>59513.816666666666</v>
      </c>
      <c r="C72" s="34">
        <f>+'NEW-Tables 80-86'!D11+'NEW-Tables 80-86'!C41</f>
        <v>6143.8083333333334</v>
      </c>
      <c r="D72" s="34">
        <f>+'NEW-Tables 80-86'!F11+'NEW-Tables 80-86'!D41</f>
        <v>35434.708333333336</v>
      </c>
      <c r="E72" s="34">
        <f>+'NEW-Tables 80-86'!H11+'NEW-Tables 80-86'!E41</f>
        <v>15717.333333333332</v>
      </c>
      <c r="F72" s="34">
        <f>+'NEW-Tables 80-86'!J11+'NEW-Tables 80-86'!F41</f>
        <v>8143.3666666666668</v>
      </c>
      <c r="G72" s="12">
        <f>+'NEW-Tables 80-86'!L11+'NEW-Tables 80-86'!G41</f>
        <v>2789.9666666666667</v>
      </c>
      <c r="H72" s="125">
        <f>+'NEW-Tables 80-86'!N11+'NEW-Tables 80-86'!H41</f>
        <v>127742.99999999999</v>
      </c>
      <c r="Q72" s="139">
        <f>+GETPIVOTDATA("Grand Total FTE - Old",'FTE Pivot for regular counts'!$A$2,"State","AL","Category",1,"Category2","Four-Year")</f>
        <v>57825.05</v>
      </c>
      <c r="R72" s="139">
        <f>+GETPIVOTDATA("Grand Total FTE - Old",'FTE Pivot for regular counts'!$A$2,"State","AL","Category",2,"Category2","Four-Year")</f>
        <v>5878.05</v>
      </c>
      <c r="S72" s="139">
        <f>+GETPIVOTDATA("Grand Total FTE - Old",'FTE Pivot for regular counts'!$A$2,"State","AL","Category",3,"Category2","Four-Year")</f>
        <v>34775.5</v>
      </c>
      <c r="T72" s="139">
        <f>+GETPIVOTDATA("Grand Total FTE - Old",'FTE Pivot for regular counts'!$A$2,"State","AL","Category",4,"Category2","Four-Year")</f>
        <v>15831.558333333334</v>
      </c>
      <c r="U72" s="139">
        <f>+GETPIVOTDATA("Grand Total FTE - Old",'FTE Pivot for regular counts'!$A$2,"State","AL","Category",5,"Category2","Four-Year")</f>
        <v>6112.9750000000004</v>
      </c>
      <c r="V72" s="139">
        <f>+GETPIVOTDATA("Grand Total FTE - Old",'FTE Pivot for regular counts'!$A$2,"State","AL","Category",6,"Category2","Four-Year")</f>
        <v>2656.3666666666668</v>
      </c>
      <c r="W72" s="139">
        <f>+GETPIVOTDATA("Grand Total FTE - Old",'FTE Pivot for regular counts'!$A$2,"State","AL","Category2","Four-Year")</f>
        <v>123079.50000000001</v>
      </c>
      <c r="X72" s="1" t="s">
        <v>421</v>
      </c>
    </row>
    <row r="73" spans="1:24" ht="15" customHeight="1">
      <c r="A73" s="4" t="s">
        <v>422</v>
      </c>
      <c r="B73" s="34">
        <f>+'NEW-Tables 80-86'!B12+'NEW-Tables 80-86'!B42</f>
        <v>17706.233333333334</v>
      </c>
      <c r="C73" s="34">
        <f>+'NEW-Tables 80-86'!D12+'NEW-Tables 80-86'!C42</f>
        <v>0</v>
      </c>
      <c r="D73" s="34">
        <f>+'NEW-Tables 80-86'!F12+'NEW-Tables 80-86'!D42</f>
        <v>31107.016666666663</v>
      </c>
      <c r="E73" s="34">
        <f>+'NEW-Tables 80-86'!H12+'NEW-Tables 80-86'!E42</f>
        <v>10060.35</v>
      </c>
      <c r="F73" s="34">
        <f>+'NEW-Tables 80-86'!J12+'NEW-Tables 80-86'!F42</f>
        <v>5216.3083333333334</v>
      </c>
      <c r="G73" s="12">
        <f>+'NEW-Tables 80-86'!L12+'NEW-Tables 80-86'!G42</f>
        <v>9208.1416666666664</v>
      </c>
      <c r="H73" s="125">
        <f>+'NEW-Tables 80-86'!N12+'NEW-Tables 80-86'!H42</f>
        <v>73298.05</v>
      </c>
      <c r="Q73" s="139">
        <f>+GETPIVOTDATA("Grand Total FTE - Old",'FTE Pivot for regular counts'!$A$2,"State","AR","Category",1,"Category2","Four-Year")</f>
        <v>17188.708333333332</v>
      </c>
      <c r="R73" s="139">
        <f>+GETPIVOTDATA("Grand Total FTE - Old",'FTE Pivot for regular counts'!$A$2,"State","AR","Category",2,"Category2","Four-Year")</f>
        <v>0</v>
      </c>
      <c r="S73" s="139">
        <f>+GETPIVOTDATA("Grand Total FTE - Old",'FTE Pivot for regular counts'!$A$2,"State","AR","Category",3,"Category2","Four-Year")</f>
        <v>30314.491666666669</v>
      </c>
      <c r="T73" s="139">
        <f>+GETPIVOTDATA("Grand Total FTE - Old",'FTE Pivot for regular counts'!$A$2,"State","AR","Category",4,"Category2","Four-Year")</f>
        <v>10209.991666666667</v>
      </c>
      <c r="U73" s="139">
        <f>+GETPIVOTDATA("Grand Total FTE - Old",'FTE Pivot for regular counts'!$A$2,"State","AR","Category",5,"Category2","Four-Year")</f>
        <v>5554.6416666666664</v>
      </c>
      <c r="V73" s="139">
        <f>+GETPIVOTDATA("Grand Total FTE - Old",'FTE Pivot for regular counts'!$A$2,"State","AR","Category",6,"Category2","Four-Year")</f>
        <v>8459.15</v>
      </c>
      <c r="W73" s="139">
        <f>+GETPIVOTDATA("Grand Total FTE - Old",'FTE Pivot for regular counts'!$A$2,"State","AR","Category2","Four-Year")</f>
        <v>71726.983333333323</v>
      </c>
      <c r="X73" s="4" t="s">
        <v>422</v>
      </c>
    </row>
    <row r="74" spans="1:24" ht="15" customHeight="1">
      <c r="A74" s="1" t="s">
        <v>459</v>
      </c>
      <c r="B74" s="34">
        <f>+'NEW-Tables 80-86'!B13+'NEW-Tables 80-86'!B43</f>
        <v>19313.083333333332</v>
      </c>
      <c r="C74" s="34">
        <f>+'NEW-Tables 80-86'!D13+'NEW-Tables 80-86'!C43</f>
        <v>0</v>
      </c>
      <c r="D74" s="34">
        <f>+'NEW-Tables 80-86'!F13+'NEW-Tables 80-86'!D43</f>
        <v>0</v>
      </c>
      <c r="E74" s="1">
        <f>+'NEW-Tables 80-86'!H13+'NEW-Tables 80-86'!E43</f>
        <v>3373.3916666666669</v>
      </c>
      <c r="F74" s="34">
        <f>+'NEW-Tables 80-86'!J13+'NEW-Tables 80-86'!F43</f>
        <v>0</v>
      </c>
      <c r="G74" s="12">
        <f>+'NEW-Tables 80-86'!L13+'NEW-Tables 80-86'!G43</f>
        <v>0</v>
      </c>
      <c r="H74" s="1">
        <f>+'NEW-Tables 80-86'!N13+'NEW-Tables 80-86'!H43</f>
        <v>22686.474999999999</v>
      </c>
      <c r="Q74" s="139">
        <f>+GETPIVOTDATA("Grand Total FTE - Old",'FTE Pivot for regular counts'!$A$2,"State","DE","Category",1,"Category2","Four-Year")</f>
        <v>18905.058333333334</v>
      </c>
      <c r="R74" s="139">
        <f>+GETPIVOTDATA("Grand Total FTE - Old",'FTE Pivot for regular counts'!$A$2,"State","DE","Category",2,"Category2","Four-Year")</f>
        <v>0</v>
      </c>
      <c r="S74" s="139">
        <f>+GETPIVOTDATA("Grand Total FTE - Old",'FTE Pivot for regular counts'!$A$2,"State","DE","Category",3,"Category2","Four-Year")</f>
        <v>0</v>
      </c>
      <c r="T74" s="139">
        <f>+GETPIVOTDATA("Grand Total FTE - Old",'FTE Pivot for regular counts'!$A$2,"State","DE","Category",4,"Category2","Four-Year")</f>
        <v>3496.8666666666663</v>
      </c>
      <c r="U74" s="139">
        <f>+GETPIVOTDATA("Grand Total FTE - Old",'FTE Pivot for regular counts'!$A$2,"State","DE","Category",5,"Category2","Four-Year")</f>
        <v>0</v>
      </c>
      <c r="V74" s="139">
        <f>+GETPIVOTDATA("Grand Total FTE - Old",'FTE Pivot for regular counts'!$A$2,"State","DE","Category",6,"Category2","Four-Year")</f>
        <v>0</v>
      </c>
      <c r="W74" s="139">
        <f>+GETPIVOTDATA("Grand Total FTE - Old",'FTE Pivot for regular counts'!$A$2,"State","DE","Category2","Four-Year")</f>
        <v>22401.924999999999</v>
      </c>
      <c r="X74" s="1" t="s">
        <v>459</v>
      </c>
    </row>
    <row r="75" spans="1:24" ht="15" customHeight="1">
      <c r="A75" s="1" t="s">
        <v>423</v>
      </c>
      <c r="B75" s="34">
        <f>+'NEW-Tables 80-86'!B14+'NEW-Tables 80-86'!B44</f>
        <v>209104.42500000002</v>
      </c>
      <c r="C75" s="34">
        <f>+'NEW-Tables 80-86'!D14+'NEW-Tables 80-86'!C44</f>
        <v>21243.341666666667</v>
      </c>
      <c r="D75" s="34">
        <f>+'NEW-Tables 80-86'!F14+'NEW-Tables 80-86'!D44</f>
        <v>34832.941666666666</v>
      </c>
      <c r="E75" s="34">
        <f>+'NEW-Tables 80-86'!H14+'NEW-Tables 80-86'!E44</f>
        <v>9158.7666666666664</v>
      </c>
      <c r="F75" s="34">
        <f>+'NEW-Tables 80-86'!J14+'NEW-Tables 80-86'!F44</f>
        <v>0</v>
      </c>
      <c r="G75" s="12">
        <f>+'NEW-Tables 80-86'!L14+'NEW-Tables 80-86'!G44</f>
        <v>929.06666666666672</v>
      </c>
      <c r="H75" s="125">
        <f>+'NEW-Tables 80-86'!N14+'NEW-Tables 80-86'!H44</f>
        <v>275268.54166666669</v>
      </c>
      <c r="Q75" s="139">
        <f>+GETPIVOTDATA("Grand Total FTE - Old",'FTE Pivot for regular counts'!$A$2,"State","FL","Category",1,"Category2","Four-Year")</f>
        <v>205838.66666666666</v>
      </c>
      <c r="R75" s="139">
        <f>+GETPIVOTDATA("Grand Total FTE - Old",'FTE Pivot for regular counts'!$A$2,"State","FL","Category",2,"Category2","Four-Year")</f>
        <v>20496.199999999997</v>
      </c>
      <c r="S75" s="139">
        <f>+GETPIVOTDATA("Grand Total FTE - Old",'FTE Pivot for regular counts'!$A$2,"State","FL","Category",3,"Category2","Four-Year")</f>
        <v>33988.041666666664</v>
      </c>
      <c r="T75" s="139">
        <f>+GETPIVOTDATA("Grand Total FTE - Old",'FTE Pivot for regular counts'!$A$2,"State","FL","Category",4,"Category2","Four-Year")</f>
        <v>8307.8333333333339</v>
      </c>
      <c r="U75" s="139">
        <f>+GETPIVOTDATA("Grand Total FTE - Old",'FTE Pivot for regular counts'!$A$2,"State","FL","Category",5,"Category2","Four-Year")</f>
        <v>0</v>
      </c>
      <c r="V75" s="139">
        <f>+GETPIVOTDATA("Grand Total FTE - Old",'FTE Pivot for regular counts'!$A$2,"State","FL","Category",6,"Category2","Four-Year")</f>
        <v>898.26666666666665</v>
      </c>
      <c r="W75" s="139">
        <f>+GETPIVOTDATA("Grand Total FTE - Old",'FTE Pivot for regular counts'!$A$2,"State","FL","Category2","Four-Year")</f>
        <v>269529.0083333333</v>
      </c>
      <c r="X75" s="1" t="s">
        <v>423</v>
      </c>
    </row>
    <row r="76" spans="1:24" ht="15" customHeight="1">
      <c r="B76" s="34"/>
      <c r="C76" s="34"/>
      <c r="D76" s="34"/>
      <c r="E76" s="34"/>
      <c r="F76" s="34"/>
      <c r="G76" s="12"/>
      <c r="H76" s="125"/>
      <c r="Q76" s="139"/>
      <c r="R76" s="139"/>
      <c r="S76" s="139"/>
      <c r="T76" s="139"/>
      <c r="U76" s="139"/>
      <c r="V76" s="139"/>
      <c r="W76" s="139"/>
    </row>
    <row r="77" spans="1:24" ht="15" customHeight="1">
      <c r="A77" s="1" t="s">
        <v>424</v>
      </c>
      <c r="B77" s="34">
        <f>+'NEW-Tables 80-86'!B16+'NEW-Tables 80-86'!B46</f>
        <v>63605.899999999994</v>
      </c>
      <c r="C77" s="34">
        <f>+'NEW-Tables 80-86'!D16+'NEW-Tables 80-86'!C46</f>
        <v>22650.516666666666</v>
      </c>
      <c r="D77" s="34">
        <f>+'NEW-Tables 80-86'!F16+'NEW-Tables 80-86'!D46</f>
        <v>38215.724999999999</v>
      </c>
      <c r="E77" s="34">
        <f>+'NEW-Tables 80-86'!H16+'NEW-Tables 80-86'!E46</f>
        <v>43164.091666666667</v>
      </c>
      <c r="F77" s="34">
        <f>+'NEW-Tables 80-86'!J16+'NEW-Tables 80-86'!F46</f>
        <v>19989.099999999999</v>
      </c>
      <c r="G77" s="12">
        <f>+'NEW-Tables 80-86'!L16+'NEW-Tables 80-86'!G46</f>
        <v>10580.708333333332</v>
      </c>
      <c r="H77" s="125">
        <f>+'NEW-Tables 80-86'!N16+'NEW-Tables 80-86'!H46</f>
        <v>198206.04166666669</v>
      </c>
      <c r="Q77" s="139">
        <f>+GETPIVOTDATA("Grand Total FTE - Old",'FTE Pivot for regular counts'!$A$2,"State","GA","Category",1,"Category2","Four-Year")</f>
        <v>61082.480833333335</v>
      </c>
      <c r="R77" s="139">
        <f>+GETPIVOTDATA("Grand Total FTE - Old",'FTE Pivot for regular counts'!$A$2,"State","GA","Category",2,"Category2","Four-Year")</f>
        <v>21887.474999999999</v>
      </c>
      <c r="S77" s="139">
        <f>+GETPIVOTDATA("Grand Total FTE - Old",'FTE Pivot for regular counts'!$A$2,"State","GA","Category",3,"Category2","Four-Year")</f>
        <v>36570.175000000003</v>
      </c>
      <c r="T77" s="139">
        <f>+GETPIVOTDATA("Grand Total FTE - Old",'FTE Pivot for regular counts'!$A$2,"State","GA","Category",4,"Category2","Four-Year")</f>
        <v>40898.621666666666</v>
      </c>
      <c r="U77" s="139">
        <f>+GETPIVOTDATA("Grand Total FTE - Old",'FTE Pivot for regular counts'!$A$2,"State","GA","Category",5,"Category2","Four-Year")</f>
        <v>18541.25</v>
      </c>
      <c r="V77" s="139">
        <f>+GETPIVOTDATA("Grand Total FTE - Old",'FTE Pivot for regular counts'!$A$2,"State","GA","Category",6,"Category2","Four-Year")</f>
        <v>9947.9000000000015</v>
      </c>
      <c r="W77" s="139">
        <f>+GETPIVOTDATA("Grand Total FTE - Old",'FTE Pivot for regular counts'!$A$2,"State","GA","Category2","Four-Year")</f>
        <v>188927.9025</v>
      </c>
      <c r="X77" s="1" t="s">
        <v>424</v>
      </c>
    </row>
    <row r="78" spans="1:24" ht="15" customHeight="1">
      <c r="A78" s="1" t="s">
        <v>425</v>
      </c>
      <c r="B78" s="34">
        <f>+'NEW-Tables 80-86'!B17+'NEW-Tables 80-86'!B47</f>
        <v>37089.974999999999</v>
      </c>
      <c r="C78" s="34">
        <f>+'NEW-Tables 80-86'!D17+'NEW-Tables 80-86'!C47</f>
        <v>0</v>
      </c>
      <c r="D78" s="34">
        <f>+'NEW-Tables 80-86'!F17+'NEW-Tables 80-86'!D47</f>
        <v>39647.724999999999</v>
      </c>
      <c r="E78" s="34">
        <f>+'NEW-Tables 80-86'!H17+'NEW-Tables 80-86'!E47</f>
        <v>19753.075000000001</v>
      </c>
      <c r="F78" s="34">
        <f>+'NEW-Tables 80-86'!J17+'NEW-Tables 80-86'!F47</f>
        <v>2220.25</v>
      </c>
      <c r="G78" s="12">
        <f>+'NEW-Tables 80-86'!L17+'NEW-Tables 80-86'!G47</f>
        <v>0</v>
      </c>
      <c r="H78" s="125">
        <f>+'NEW-Tables 80-86'!N17+'NEW-Tables 80-86'!H47</f>
        <v>98711.024999999994</v>
      </c>
      <c r="Q78" s="139">
        <f>+GETPIVOTDATA("Grand Total FTE - Old",'FTE Pivot for regular counts'!$A$2,"State","KY","Category",1,"Category2","Four-Year")</f>
        <v>36783.216666666667</v>
      </c>
      <c r="R78" s="139">
        <f>+GETPIVOTDATA("Grand Total FTE - Old",'FTE Pivot for regular counts'!$A$2,"State","KY","Category",2,"Category2","Four-Year")</f>
        <v>0</v>
      </c>
      <c r="S78" s="139">
        <f>+GETPIVOTDATA("Grand Total FTE - Old",'FTE Pivot for regular counts'!$A$2,"State","KY","Category",3,"Category2","Four-Year")</f>
        <v>38995.741666666669</v>
      </c>
      <c r="T78" s="139">
        <f>+GETPIVOTDATA("Grand Total FTE - Old",'FTE Pivot for regular counts'!$A$2,"State","KY","Category",4,"Category2","Four-Year")</f>
        <v>19555.275000000001</v>
      </c>
      <c r="U78" s="139">
        <f>+GETPIVOTDATA("Grand Total FTE - Old",'FTE Pivot for regular counts'!$A$2,"State","KY","Category",5,"Category2","Four-Year")</f>
        <v>2188.6833333333334</v>
      </c>
      <c r="V78" s="139">
        <f>+GETPIVOTDATA("Grand Total FTE - Old",'FTE Pivot for regular counts'!$A$2,"State","KY","Category",6,"Category2","Four-Year")</f>
        <v>0</v>
      </c>
      <c r="W78" s="139">
        <f>+GETPIVOTDATA("Grand Total FTE - Old",'FTE Pivot for regular counts'!$A$2,"State","KY","Category2","Four-Year")</f>
        <v>97522.916666666672</v>
      </c>
      <c r="X78" s="1" t="s">
        <v>425</v>
      </c>
    </row>
    <row r="79" spans="1:24" ht="15" customHeight="1">
      <c r="A79" s="1" t="s">
        <v>426</v>
      </c>
      <c r="B79" s="34">
        <f>+'NEW-Tables 80-86'!B18+'NEW-Tables 80-86'!B48</f>
        <v>28434.875</v>
      </c>
      <c r="C79" s="34">
        <f>+'NEW-Tables 80-86'!D18+'NEW-Tables 80-86'!C48</f>
        <v>32744.716666666664</v>
      </c>
      <c r="D79" s="34">
        <f>+'NEW-Tables 80-86'!F18+'NEW-Tables 80-86'!D48</f>
        <v>29083.924999999999</v>
      </c>
      <c r="E79" s="34">
        <f>+'NEW-Tables 80-86'!H18+'NEW-Tables 80-86'!E48</f>
        <v>32878.949999999997</v>
      </c>
      <c r="F79" s="34">
        <f>+'NEW-Tables 80-86'!J18+'NEW-Tables 80-86'!F48</f>
        <v>0</v>
      </c>
      <c r="G79" s="12">
        <f>+'NEW-Tables 80-86'!L18+'NEW-Tables 80-86'!G48</f>
        <v>0</v>
      </c>
      <c r="H79" s="125">
        <f>+'NEW-Tables 80-86'!N18+'NEW-Tables 80-86'!H48</f>
        <v>123142.46666666666</v>
      </c>
      <c r="Q79" s="139">
        <f>+GETPIVOTDATA("Grand Total FTE - Old",'FTE Pivot for regular counts'!$A$2,"State","LA","Category",1,"Category2","Four-Year")</f>
        <v>28341.345833333333</v>
      </c>
      <c r="R79" s="139">
        <f>+GETPIVOTDATA("Grand Total FTE - Old",'FTE Pivot for regular counts'!$A$2,"State","LA","Category",2,"Category2","Four-Year")</f>
        <v>29832.194444444445</v>
      </c>
      <c r="S79" s="139">
        <f>+GETPIVOTDATA("Grand Total FTE - Old",'FTE Pivot for regular counts'!$A$2,"State","LA","Category",3,"Category2","Four-Year")</f>
        <v>28672.224999999999</v>
      </c>
      <c r="T79" s="139">
        <f>+GETPIVOTDATA("Grand Total FTE - Old",'FTE Pivot for regular counts'!$A$2,"State","LA","Category",4,"Category2","Four-Year")</f>
        <v>32288.325000000001</v>
      </c>
      <c r="U79" s="139">
        <f>+GETPIVOTDATA("Grand Total FTE - Old",'FTE Pivot for regular counts'!$A$2,"State","LA","Category",5,"Category2","Four-Year")</f>
        <v>0</v>
      </c>
      <c r="V79" s="139">
        <f>+GETPIVOTDATA("Grand Total FTE - Old",'FTE Pivot for regular counts'!$A$2,"State","LA","Category",6,"Category2","Four-Year")</f>
        <v>0</v>
      </c>
      <c r="W79" s="139">
        <f>+GETPIVOTDATA("Grand Total FTE - Old",'FTE Pivot for regular counts'!$A$2,"State","LA","Category2","Four-Year")</f>
        <v>119134.09027777777</v>
      </c>
      <c r="X79" s="1" t="s">
        <v>426</v>
      </c>
    </row>
    <row r="80" spans="1:24" ht="15" customHeight="1">
      <c r="A80" s="1" t="s">
        <v>427</v>
      </c>
      <c r="B80" s="34">
        <f>+'NEW-Tables 80-86'!B19+'NEW-Tables 80-86'!B49</f>
        <v>32837.561666666668</v>
      </c>
      <c r="C80" s="34">
        <f>+'NEW-Tables 80-86'!D19+'NEW-Tables 80-86'!C49</f>
        <v>10641.800000000001</v>
      </c>
      <c r="D80" s="34">
        <f>+'NEW-Tables 80-86'!F19+'NEW-Tables 80-86'!D49</f>
        <v>25058.633333333331</v>
      </c>
      <c r="E80" s="34">
        <f>+'NEW-Tables 80-86'!H19+'NEW-Tables 80-86'!E49</f>
        <v>29255.733333333334</v>
      </c>
      <c r="F80" s="34">
        <f>+'NEW-Tables 80-86'!J19+'NEW-Tables 80-86'!F49</f>
        <v>0</v>
      </c>
      <c r="G80" s="12">
        <f>+'NEW-Tables 80-86'!L19+'NEW-Tables 80-86'!G49</f>
        <v>2155.1499999999996</v>
      </c>
      <c r="H80" s="125">
        <f>+'NEW-Tables 80-86'!N19+'NEW-Tables 80-86'!H49</f>
        <v>99948.878333333356</v>
      </c>
      <c r="Q80" s="139">
        <f>+GETPIVOTDATA("Grand Total FTE - Old",'FTE Pivot for regular counts'!$A$2,"State","MD","Category",1,"Category2","Four-Year")</f>
        <v>32196.233333333334</v>
      </c>
      <c r="R80" s="139">
        <f>+GETPIVOTDATA("Grand Total FTE - Old",'FTE Pivot for regular counts'!$A$2,"State","MD","Category",2,"Category2","Four-Year")</f>
        <v>10276.025000000001</v>
      </c>
      <c r="S80" s="139">
        <f>+GETPIVOTDATA("Grand Total FTE - Old",'FTE Pivot for regular counts'!$A$2,"State","MD","Category",3,"Category2","Four-Year")</f>
        <v>24124.366666666669</v>
      </c>
      <c r="T80" s="139">
        <f>+GETPIVOTDATA("Grand Total FTE - Old",'FTE Pivot for regular counts'!$A$2,"State","MD","Category",4,"Category2","Four-Year")</f>
        <v>28064.649999999998</v>
      </c>
      <c r="U80" s="139">
        <f>+GETPIVOTDATA("Grand Total FTE - Old",'FTE Pivot for regular counts'!$A$2,"State","MD","Category",5,"Category2","Four-Year")</f>
        <v>0</v>
      </c>
      <c r="V80" s="139">
        <f>+GETPIVOTDATA("Grand Total FTE - Old",'FTE Pivot for regular counts'!$A$2,"State","MD","Category",6,"Category2","Four-Year")</f>
        <v>2117.8683333333333</v>
      </c>
      <c r="W80" s="139">
        <f>+GETPIVOTDATA("Grand Total FTE - Old",'FTE Pivot for regular counts'!$A$2,"State","MD","Category2","Four-Year")</f>
        <v>96779.143333333326</v>
      </c>
      <c r="X80" s="1" t="s">
        <v>427</v>
      </c>
    </row>
    <row r="81" spans="1:26" ht="15" customHeight="1">
      <c r="B81" s="34"/>
      <c r="C81" s="34"/>
      <c r="D81" s="34"/>
      <c r="E81" s="34"/>
      <c r="F81" s="34"/>
      <c r="G81" s="12"/>
      <c r="H81" s="125"/>
      <c r="Q81" s="139"/>
      <c r="R81" s="139"/>
      <c r="S81" s="139"/>
      <c r="T81" s="139"/>
      <c r="U81" s="139"/>
      <c r="V81" s="139"/>
      <c r="W81" s="139"/>
    </row>
    <row r="82" spans="1:26" ht="15" customHeight="1">
      <c r="A82" s="1" t="s">
        <v>428</v>
      </c>
      <c r="B82" s="34">
        <f>+'NEW-Tables 80-86'!B21+'NEW-Tables 80-86'!B51</f>
        <v>29765.408333333333</v>
      </c>
      <c r="C82" s="34">
        <f>+'NEW-Tables 80-86'!D21+'NEW-Tables 80-86'!C51</f>
        <v>21274.083333333332</v>
      </c>
      <c r="D82" s="34">
        <f>+'NEW-Tables 80-86'!F21+'NEW-Tables 80-86'!D51</f>
        <v>0</v>
      </c>
      <c r="E82" s="34">
        <f>+'NEW-Tables 80-86'!H21+'NEW-Tables 80-86'!E51</f>
        <v>8803.9750000000004</v>
      </c>
      <c r="F82" s="34">
        <f>+'NEW-Tables 80-86'!J21+'NEW-Tables 80-86'!F51</f>
        <v>2110.6750000000002</v>
      </c>
      <c r="G82" s="12">
        <f>+'NEW-Tables 80-86'!L21+'NEW-Tables 80-86'!G51</f>
        <v>0</v>
      </c>
      <c r="H82" s="125">
        <f>+'NEW-Tables 80-86'!N21+'NEW-Tables 80-86'!H51</f>
        <v>61954.14166666667</v>
      </c>
      <c r="Q82" s="139">
        <f>+GETPIVOTDATA("Grand Total FTE - Old",'FTE Pivot for regular counts'!$A$2,"State","MS","Category",1,"Category2","Four-Year")</f>
        <v>28079.316666666666</v>
      </c>
      <c r="R82" s="139">
        <f>+GETPIVOTDATA("Grand Total FTE - Old",'FTE Pivot for regular counts'!$A$2,"State","MS","Category",2,"Category2","Four-Year")</f>
        <v>20963.908333333333</v>
      </c>
      <c r="S82" s="139">
        <f>+GETPIVOTDATA("Grand Total FTE - Old",'FTE Pivot for regular counts'!$A$2,"State","MS","Category",3,"Category2","Four-Year")</f>
        <v>0</v>
      </c>
      <c r="T82" s="139">
        <f>+GETPIVOTDATA("Grand Total FTE - Old",'FTE Pivot for regular counts'!$A$2,"State","MS","Category",4,"Category2","Four-Year")</f>
        <v>8957.9083333333328</v>
      </c>
      <c r="U82" s="139">
        <f>+GETPIVOTDATA("Grand Total FTE - Old",'FTE Pivot for regular counts'!$A$2,"State","MS","Category",5,"Category2","Four-Year")</f>
        <v>1979.1583333333333</v>
      </c>
      <c r="V82" s="139">
        <f>+GETPIVOTDATA("Grand Total FTE - Old",'FTE Pivot for regular counts'!$A$2,"State","MS","Category",6,"Category2","Four-Year")</f>
        <v>0</v>
      </c>
      <c r="W82" s="139">
        <f>+GETPIVOTDATA("Grand Total FTE - Old",'FTE Pivot for regular counts'!$A$2,"State","MS","Category2","Four-Year")</f>
        <v>59980.291666666664</v>
      </c>
      <c r="X82" s="1" t="s">
        <v>428</v>
      </c>
    </row>
    <row r="83" spans="1:26" ht="15" customHeight="1">
      <c r="A83" s="1" t="s">
        <v>429</v>
      </c>
      <c r="B83" s="34">
        <f>+'NEW-Tables 80-86'!B22+'NEW-Tables 80-86'!B52</f>
        <v>53988.475000000006</v>
      </c>
      <c r="C83" s="34">
        <f>+'NEW-Tables 80-86'!D22+'NEW-Tables 80-86'!C52</f>
        <v>37195.633333333331</v>
      </c>
      <c r="D83" s="34">
        <f>+'NEW-Tables 80-86'!F22+'NEW-Tables 80-86'!D52</f>
        <v>78431.041666666672</v>
      </c>
      <c r="E83" s="34">
        <f>+'NEW-Tables 80-86'!H22+'NEW-Tables 80-86'!E52</f>
        <v>5547.7999999999993</v>
      </c>
      <c r="F83" s="34">
        <f>+'NEW-Tables 80-86'!J22+'NEW-Tables 80-86'!F52</f>
        <v>12034.925000000001</v>
      </c>
      <c r="G83" s="12">
        <f>+'NEW-Tables 80-86'!L22+'NEW-Tables 80-86'!G52</f>
        <v>6521.4833333333336</v>
      </c>
      <c r="H83" s="125">
        <f>+'NEW-Tables 80-86'!N22+'NEW-Tables 80-86'!H52</f>
        <v>193719.35833333337</v>
      </c>
      <c r="Q83" s="139">
        <f>+GETPIVOTDATA("Grand Total FTE - Old",'FTE Pivot for regular counts'!$A$2,"State","NC","Category",1,"Category2","Four-Year")</f>
        <v>52364.266666666663</v>
      </c>
      <c r="R83" s="139">
        <f>+GETPIVOTDATA("Grand Total FTE - Old",'FTE Pivot for regular counts'!$A$2,"State","NC","Category",2,"Category2","Four-Year")</f>
        <v>35457.058333333334</v>
      </c>
      <c r="S83" s="139">
        <f>+GETPIVOTDATA("Grand Total FTE - Old",'FTE Pivot for regular counts'!$A$2,"State","NC","Category",3,"Category2","Four-Year")</f>
        <v>76423.399999999994</v>
      </c>
      <c r="T83" s="139">
        <f>+GETPIVOTDATA("Grand Total FTE - Old",'FTE Pivot for regular counts'!$A$2,"State","NC","Category",4,"Category2","Four-Year")</f>
        <v>6051.75</v>
      </c>
      <c r="U83" s="139">
        <f>+GETPIVOTDATA("Grand Total FTE - Old",'FTE Pivot for regular counts'!$A$2,"State","NC","Category",5,"Category2","Four-Year")</f>
        <v>11286.916666666668</v>
      </c>
      <c r="V83" s="139">
        <f>+GETPIVOTDATA("Grand Total FTE - Old",'FTE Pivot for regular counts'!$A$2,"State","NC","Category",6,"Category2","Four-Year")</f>
        <v>6120.1916666666666</v>
      </c>
      <c r="W83" s="139">
        <f>+GETPIVOTDATA("Grand Total FTE - Old",'FTE Pivot for regular counts'!$A$2,"State","NC","Category2","Four-Year")</f>
        <v>187703.58333333331</v>
      </c>
      <c r="X83" s="1" t="s">
        <v>429</v>
      </c>
    </row>
    <row r="84" spans="1:26" ht="15" customHeight="1">
      <c r="A84" s="1" t="s">
        <v>430</v>
      </c>
      <c r="B84" s="34">
        <f>+'NEW-Tables 80-86'!B23+'NEW-Tables 80-86'!B53</f>
        <v>43147.083333333328</v>
      </c>
      <c r="C84" s="34">
        <f>+'NEW-Tables 80-86'!D23+'NEW-Tables 80-86'!C53</f>
        <v>0</v>
      </c>
      <c r="D84" s="34">
        <f>+'NEW-Tables 80-86'!F23+'NEW-Tables 80-86'!D53</f>
        <v>19245.991666666669</v>
      </c>
      <c r="E84" s="34">
        <f>+'NEW-Tables 80-86'!H23+'NEW-Tables 80-86'!E53</f>
        <v>0</v>
      </c>
      <c r="F84" s="34">
        <f>+'NEW-Tables 80-86'!J23+'NEW-Tables 80-86'!F53</f>
        <v>20254.275000000001</v>
      </c>
      <c r="G84" s="12">
        <f>+'NEW-Tables 80-86'!L23+'NEW-Tables 80-86'!G53</f>
        <v>5225.3999999999996</v>
      </c>
      <c r="H84" s="125">
        <f>+'NEW-Tables 80-86'!N23+'NEW-Tables 80-86'!H53</f>
        <v>87872.749999999985</v>
      </c>
      <c r="Q84" s="139">
        <f>+GETPIVOTDATA("Grand Total FTE - Old",'FTE Pivot for regular counts'!$A$2,"State","OK","Category",1,"Category2","Four-Year")</f>
        <v>43029.3</v>
      </c>
      <c r="R84" s="139">
        <f>+GETPIVOTDATA("Grand Total FTE - Old",'FTE Pivot for regular counts'!$A$2,"State","OK","Category",2,"Category2","Four-Year")</f>
        <v>0</v>
      </c>
      <c r="S84" s="139">
        <f>+GETPIVOTDATA("Grand Total FTE - Old",'FTE Pivot for regular counts'!$A$2,"State","OK","Category",3,"Category2","Four-Year")</f>
        <v>18477.241666666665</v>
      </c>
      <c r="T84" s="139">
        <f>+GETPIVOTDATA("Grand Total FTE - Old",'FTE Pivot for regular counts'!$A$2,"State","OK","Category",4,"Category2","Four-Year")</f>
        <v>0</v>
      </c>
      <c r="U84" s="139">
        <f>+GETPIVOTDATA("Grand Total FTE - Old",'FTE Pivot for regular counts'!$A$2,"State","OK","Category",5,"Category2","Four-Year")</f>
        <v>19514.733333333334</v>
      </c>
      <c r="V84" s="139">
        <f>+GETPIVOTDATA("Grand Total FTE - Old",'FTE Pivot for regular counts'!$A$2,"State","OK","Category",6,"Category2","Four-Year")</f>
        <v>4970.333333333333</v>
      </c>
      <c r="W84" s="139">
        <f>+GETPIVOTDATA("Grand Total FTE - Old",'FTE Pivot for regular counts'!$A$2,"State","OK","Category2","Four-Year")</f>
        <v>85991.608333333337</v>
      </c>
      <c r="X84" s="1" t="s">
        <v>430</v>
      </c>
    </row>
    <row r="85" spans="1:26" ht="15" customHeight="1">
      <c r="A85" s="1" t="s">
        <v>431</v>
      </c>
      <c r="B85" s="34">
        <f>+'NEW-Tables 80-86'!B24+'NEW-Tables 80-86'!B54</f>
        <v>42750.875000000007</v>
      </c>
      <c r="C85" s="34">
        <f>+'NEW-Tables 80-86'!D24+'NEW-Tables 80-86'!C54</f>
        <v>0</v>
      </c>
      <c r="D85" s="34">
        <f>+'NEW-Tables 80-86'!F24+'NEW-Tables 80-86'!D54</f>
        <v>15961.641666666666</v>
      </c>
      <c r="E85" s="34">
        <f>+'NEW-Tables 80-86'!H24+'NEW-Tables 80-86'!E54</f>
        <v>3435.3833333333337</v>
      </c>
      <c r="F85" s="34">
        <f>+'NEW-Tables 80-86'!J24+'NEW-Tables 80-86'!F54</f>
        <v>15640.575000000001</v>
      </c>
      <c r="G85" s="12">
        <f>+'NEW-Tables 80-86'!L24+'NEW-Tables 80-86'!G54</f>
        <v>11573.991666666665</v>
      </c>
      <c r="H85" s="125">
        <f>+'NEW-Tables 80-86'!N24+'NEW-Tables 80-86'!H54</f>
        <v>89362.466666666674</v>
      </c>
      <c r="Q85" s="139">
        <f>+GETPIVOTDATA("Grand Total FTE - Old",'FTE Pivot for regular counts'!$A$2,"State","SC","Category",1,"Category2","Four-Year")</f>
        <v>40917.258333333331</v>
      </c>
      <c r="R85" s="139">
        <f>+GETPIVOTDATA("Grand Total FTE - Old",'FTE Pivot for regular counts'!$A$2,"State","SC","Category",2,"Category2","Four-Year")</f>
        <v>0</v>
      </c>
      <c r="S85" s="139">
        <f>+GETPIVOTDATA("Grand Total FTE - Old",'FTE Pivot for regular counts'!$A$2,"State","SC","Category",3,"Category2","Four-Year")</f>
        <v>15757.025</v>
      </c>
      <c r="T85" s="139">
        <f>+GETPIVOTDATA("Grand Total FTE - Old",'FTE Pivot for regular counts'!$A$2,"State","SC","Category",4,"Category2","Four-Year")</f>
        <v>3377.7125000000001</v>
      </c>
      <c r="U85" s="139">
        <f>+GETPIVOTDATA("Grand Total FTE - Old",'FTE Pivot for regular counts'!$A$2,"State","SC","Category",5,"Category2","Four-Year")</f>
        <v>15522.108333333334</v>
      </c>
      <c r="V85" s="139">
        <f>+GETPIVOTDATA("Grand Total FTE - Old",'FTE Pivot for regular counts'!$A$2,"State","SC","Category",6,"Category2","Four-Year")</f>
        <v>10957.116666666667</v>
      </c>
      <c r="W85" s="139">
        <f>+GETPIVOTDATA("Grand Total FTE - Old",'FTE Pivot for regular counts'!$A$2,"State","SC","Category2","Four-Year")</f>
        <v>86531.22083333334</v>
      </c>
      <c r="X85" s="1" t="s">
        <v>431</v>
      </c>
    </row>
    <row r="86" spans="1:26" ht="15" customHeight="1">
      <c r="B86" s="34"/>
      <c r="C86" s="34"/>
      <c r="D86" s="34"/>
      <c r="E86" s="34"/>
      <c r="F86" s="34"/>
      <c r="G86" s="12"/>
      <c r="H86" s="125"/>
      <c r="Q86" s="139"/>
      <c r="R86" s="139"/>
      <c r="S86" s="139"/>
      <c r="T86" s="139"/>
      <c r="U86" s="139"/>
      <c r="V86" s="139"/>
      <c r="W86" s="139"/>
    </row>
    <row r="87" spans="1:26" ht="15" customHeight="1">
      <c r="A87" s="1" t="s">
        <v>432</v>
      </c>
      <c r="B87" s="34">
        <f>+'NEW-Tables 80-86'!B26+'NEW-Tables 80-86'!B56</f>
        <v>42795.458333333336</v>
      </c>
      <c r="C87" s="34">
        <f>+'NEW-Tables 80-86'!D26+'NEW-Tables 80-86'!C56</f>
        <v>0</v>
      </c>
      <c r="D87" s="34">
        <f>+'NEW-Tables 80-86'!F26+'NEW-Tables 80-86'!D56</f>
        <v>59257.60833333333</v>
      </c>
      <c r="E87" s="34">
        <f>+'NEW-Tables 80-86'!H26+'NEW-Tables 80-86'!E56</f>
        <v>7991.0749999999998</v>
      </c>
      <c r="F87" s="34">
        <f>+'NEW-Tables 80-86'!J26+'NEW-Tables 80-86'!F56</f>
        <v>6783.5666666666666</v>
      </c>
      <c r="G87" s="12">
        <f>+'NEW-Tables 80-86'!L26+'NEW-Tables 80-86'!G56</f>
        <v>0</v>
      </c>
      <c r="H87" s="125">
        <f>+'NEW-Tables 80-86'!N26+'NEW-Tables 80-86'!H56</f>
        <v>116827.70833333334</v>
      </c>
      <c r="Q87" s="139">
        <f>+GETPIVOTDATA("Grand Total FTE - Old",'FTE Pivot for regular counts'!$A$2,"State","TN","Category",1,"Category2","Four-Year")</f>
        <v>42355.34166666666</v>
      </c>
      <c r="R87" s="139">
        <f>+GETPIVOTDATA("Grand Total FTE - Old",'FTE Pivot for regular counts'!$A$2,"State","TN","Category",2,"Category2","Four-Year")</f>
        <v>0</v>
      </c>
      <c r="S87" s="139">
        <f>+GETPIVOTDATA("Grand Total FTE - Old",'FTE Pivot for regular counts'!$A$2,"State","TN","Category",3,"Category2","Four-Year")</f>
        <v>56965.191666666666</v>
      </c>
      <c r="T87" s="139">
        <f>+GETPIVOTDATA("Grand Total FTE - Old",'FTE Pivot for regular counts'!$A$2,"State","TN","Category",4,"Category2","Four-Year")</f>
        <v>7793.4416666666666</v>
      </c>
      <c r="U87" s="139">
        <f>+GETPIVOTDATA("Grand Total FTE - Old",'FTE Pivot for regular counts'!$A$2,"State","TN","Category",5,"Category2","Four-Year")</f>
        <v>6416.8833333333332</v>
      </c>
      <c r="V87" s="139">
        <f>+GETPIVOTDATA("Grand Total FTE - Old",'FTE Pivot for regular counts'!$A$2,"State","TN","Category",6,"Category2","Four-Year")</f>
        <v>0</v>
      </c>
      <c r="W87" s="139">
        <f>+GETPIVOTDATA("Grand Total FTE - Old",'FTE Pivot for regular counts'!$A$2,"State","TN","Category2","Four-Year")</f>
        <v>113530.85833333332</v>
      </c>
      <c r="X87" s="1" t="s">
        <v>432</v>
      </c>
    </row>
    <row r="88" spans="1:26" ht="15" customHeight="1">
      <c r="A88" s="1" t="s">
        <v>433</v>
      </c>
      <c r="B88" s="34">
        <f>+'NEW-Tables 80-86'!B27+'NEW-Tables 80-86'!B57</f>
        <v>206945.79166666666</v>
      </c>
      <c r="C88" s="34">
        <f>+'NEW-Tables 80-86'!D27+'NEW-Tables 80-86'!C57</f>
        <v>49177.508333333331</v>
      </c>
      <c r="D88" s="34">
        <f>+'NEW-Tables 80-86'!F27+'NEW-Tables 80-86'!D57</f>
        <v>154907.25833333333</v>
      </c>
      <c r="E88" s="34">
        <f>+'NEW-Tables 80-86'!H27+'NEW-Tables 80-86'!E57</f>
        <v>9755.0666666666657</v>
      </c>
      <c r="F88" s="34">
        <f>+'NEW-Tables 80-86'!J27+'NEW-Tables 80-86'!F57</f>
        <v>9444.85</v>
      </c>
      <c r="G88" s="12">
        <f>+'NEW-Tables 80-86'!L27+'NEW-Tables 80-86'!G57</f>
        <v>1672.3166666666668</v>
      </c>
      <c r="H88" s="125">
        <f>+'NEW-Tables 80-86'!N27+'NEW-Tables 80-86'!H57</f>
        <v>431902.79166666674</v>
      </c>
      <c r="Q88" s="139">
        <f>+GETPIVOTDATA("Grand Total FTE - Old",'FTE Pivot for regular counts'!$A$2,"State","TX","Category",1,"Category2","Four-Year")</f>
        <v>203537.75</v>
      </c>
      <c r="R88" s="139">
        <f>+GETPIVOTDATA("Grand Total FTE - Old",'FTE Pivot for regular counts'!$A$2,"State","TX","Category",2,"Category2","Four-Year")</f>
        <v>48050.141666666663</v>
      </c>
      <c r="S88" s="139">
        <f>+GETPIVOTDATA("Grand Total FTE - Old",'FTE Pivot for regular counts'!$A$2,"State","TX","Category",3,"Category2","Four-Year")</f>
        <v>151044.57499999998</v>
      </c>
      <c r="T88" s="139">
        <f>+GETPIVOTDATA("Grand Total FTE - Old",'FTE Pivot for regular counts'!$A$2,"State","TX","Category",4,"Category2","Four-Year")</f>
        <v>9287.3833333333332</v>
      </c>
      <c r="U88" s="139">
        <f>+GETPIVOTDATA("Grand Total FTE - Old",'FTE Pivot for regular counts'!$A$2,"State","TX","Category",5,"Category2","Four-Year")</f>
        <v>9236.6166666666668</v>
      </c>
      <c r="V88" s="139">
        <f>+GETPIVOTDATA("Grand Total FTE - Old",'FTE Pivot for regular counts'!$A$2,"State","TX","Category",6,"Category2","Four-Year")</f>
        <v>1517.0333333333333</v>
      </c>
      <c r="W88" s="139">
        <f>+GETPIVOTDATA("Grand Total FTE - Old",'FTE Pivot for regular counts'!$A$2,"State","TX","Category2","Four-Year")</f>
        <v>422673.5</v>
      </c>
      <c r="X88" s="1" t="s">
        <v>433</v>
      </c>
    </row>
    <row r="89" spans="1:26" ht="15" customHeight="1">
      <c r="A89" s="1" t="s">
        <v>434</v>
      </c>
      <c r="B89" s="34">
        <f>+'NEW-Tables 80-86'!B28+'NEW-Tables 80-86'!B58</f>
        <v>98807.46666666666</v>
      </c>
      <c r="C89" s="34">
        <f>+'NEW-Tables 80-86'!D28+'NEW-Tables 80-86'!C58</f>
        <v>35982.699999999997</v>
      </c>
      <c r="D89" s="34">
        <f>+'NEW-Tables 80-86'!F28+'NEW-Tables 80-86'!D58</f>
        <v>24830.591666666667</v>
      </c>
      <c r="E89" s="34">
        <f>+'NEW-Tables 80-86'!H28+'NEW-Tables 80-86'!E58</f>
        <v>14212.658333333335</v>
      </c>
      <c r="F89" s="34">
        <f>+'NEW-Tables 80-86'!J28+'NEW-Tables 80-86'!F58</f>
        <v>14017.458333333332</v>
      </c>
      <c r="G89" s="12">
        <f>+'NEW-Tables 80-86'!L28+'NEW-Tables 80-86'!G58</f>
        <v>1729.0833333333333</v>
      </c>
      <c r="H89" s="125">
        <f>+'NEW-Tables 80-86'!N28+'NEW-Tables 80-86'!H58</f>
        <v>189579.95833333337</v>
      </c>
      <c r="Q89" s="139">
        <f>+GETPIVOTDATA("Grand Total FTE - Old",'FTE Pivot for regular counts'!$A$2,"State","VA","Category",1,"Category2","Four-Year")</f>
        <v>94535.5</v>
      </c>
      <c r="R89" s="139">
        <f>+GETPIVOTDATA("Grand Total FTE - Old",'FTE Pivot for regular counts'!$A$2,"State","VA","Category",2,"Category2","Four-Year")</f>
        <v>34070.658333333333</v>
      </c>
      <c r="S89" s="139">
        <f>+GETPIVOTDATA("Grand Total FTE - Old",'FTE Pivot for regular counts'!$A$2,"State","VA","Category",3,"Category2","Four-Year")</f>
        <v>23207.899999999998</v>
      </c>
      <c r="T89" s="139">
        <f>+GETPIVOTDATA("Grand Total FTE - Old",'FTE Pivot for regular counts'!$A$2,"State","VA","Category",4,"Category2","Four-Year")</f>
        <v>13338.466666666667</v>
      </c>
      <c r="U89" s="139">
        <f>+GETPIVOTDATA("Grand Total FTE - Old",'FTE Pivot for regular counts'!$A$2,"State","VA","Category",5,"Category2","Four-Year")</f>
        <v>13424.583333333332</v>
      </c>
      <c r="V89" s="139">
        <f>+GETPIVOTDATA("Grand Total FTE - Old",'FTE Pivot for regular counts'!$A$2,"State","VA","Category",6,"Category2","Four-Year")</f>
        <v>1624.3</v>
      </c>
      <c r="W89" s="139">
        <f>+GETPIVOTDATA("Grand Total FTE - Old",'FTE Pivot for regular counts'!$A$2,"State","VA","Category2","Four-Year")</f>
        <v>180201.40833333333</v>
      </c>
      <c r="X89" s="1" t="s">
        <v>434</v>
      </c>
    </row>
    <row r="90" spans="1:26" ht="15" customHeight="1">
      <c r="A90" s="3" t="s">
        <v>435</v>
      </c>
      <c r="B90" s="13">
        <f>+'NEW-Tables 80-86'!B29+'NEW-Tables 80-86'!B59</f>
        <v>26197.141666666666</v>
      </c>
      <c r="C90" s="13">
        <f>+'NEW-Tables 80-86'!D29+'NEW-Tables 80-86'!C59</f>
        <v>0</v>
      </c>
      <c r="D90" s="13">
        <f>+'NEW-Tables 80-86'!F29+'NEW-Tables 80-86'!D59</f>
        <v>10996.908333333333</v>
      </c>
      <c r="E90" s="13">
        <f>+'NEW-Tables 80-86'!H29+'NEW-Tables 80-86'!E59</f>
        <v>0</v>
      </c>
      <c r="F90" s="13">
        <f>+'NEW-Tables 80-86'!J29+'NEW-Tables 80-86'!F59</f>
        <v>4084.35</v>
      </c>
      <c r="G90" s="14">
        <f>+'NEW-Tables 80-86'!L29+'NEW-Tables 80-86'!G59</f>
        <v>15685.816666666666</v>
      </c>
      <c r="H90" s="126">
        <f>+'NEW-Tables 80-86'!N29+'NEW-Tables 80-86'!H59</f>
        <v>56964.216666666667</v>
      </c>
      <c r="Q90" s="139">
        <f>+GETPIVOTDATA("Grand Total FTE - Old",'FTE Pivot for regular counts'!$A$2,"State","WV","Category",1,"Category2","Four-Year")</f>
        <v>25898.674999999999</v>
      </c>
      <c r="R90" s="139">
        <f>+GETPIVOTDATA("Grand Total FTE - Old",'FTE Pivot for regular counts'!$A$2,"State","WV","Category",2,"Category2","Four-Year")</f>
        <v>0</v>
      </c>
      <c r="S90" s="139">
        <f>+GETPIVOTDATA("Grand Total FTE - Old",'FTE Pivot for regular counts'!$A$2,"State","WV","Category",3,"Category2","Four-Year")</f>
        <v>10830.358333333334</v>
      </c>
      <c r="T90" s="139">
        <f>+GETPIVOTDATA("Grand Total FTE - Old",'FTE Pivot for regular counts'!$A$2,"State","WV","Category",4,"Category2","Four-Year")</f>
        <v>0</v>
      </c>
      <c r="U90" s="139">
        <f>+GETPIVOTDATA("Grand Total FTE - Old",'FTE Pivot for regular counts'!$A$2,"State","WV","Category",5,"Category2","Four-Year")</f>
        <v>4046.583333333333</v>
      </c>
      <c r="V90" s="139">
        <f>+GETPIVOTDATA("Grand Total FTE - Old",'FTE Pivot for regular counts'!$A$2,"State","WV","Category",6,"Category2","Four-Year")</f>
        <v>15041.286666666669</v>
      </c>
      <c r="W90" s="139">
        <f>+GETPIVOTDATA("Grand Total FTE - Old",'FTE Pivot for regular counts'!$A$2,"State","WV","Category2","Four-Year")</f>
        <v>55816.903333333335</v>
      </c>
      <c r="X90" s="3" t="s">
        <v>435</v>
      </c>
    </row>
    <row r="91" spans="1:26" s="25" customFormat="1" ht="9.9499999999999993" customHeight="1">
      <c r="A91" s="77"/>
      <c r="B91" s="16"/>
      <c r="C91" s="16"/>
      <c r="D91" s="16"/>
      <c r="E91" s="16"/>
      <c r="F91" s="16"/>
      <c r="G91" s="16"/>
      <c r="H91" s="121"/>
      <c r="I91" s="15"/>
      <c r="J91" s="115"/>
      <c r="K91" s="115"/>
      <c r="L91" s="115"/>
      <c r="M91" s="115"/>
    </row>
    <row r="92" spans="1:26" ht="45.75" customHeight="1">
      <c r="A92" s="785" t="s">
        <v>79</v>
      </c>
      <c r="B92" s="786"/>
      <c r="C92" s="786"/>
      <c r="D92" s="786"/>
      <c r="E92" s="786"/>
      <c r="F92" s="786"/>
      <c r="G92" s="786"/>
      <c r="H92" s="786"/>
    </row>
    <row r="93" spans="1:26">
      <c r="A93" s="50"/>
      <c r="B93" s="51"/>
      <c r="C93" s="51"/>
      <c r="D93" s="51"/>
      <c r="E93" s="51"/>
      <c r="F93" s="51"/>
      <c r="G93" s="51"/>
      <c r="H93" s="307" t="s">
        <v>979</v>
      </c>
    </row>
    <row r="94" spans="1:26" ht="18">
      <c r="A94" s="791" t="s">
        <v>925</v>
      </c>
      <c r="B94" s="791"/>
      <c r="C94" s="791"/>
      <c r="D94" s="791"/>
      <c r="E94" s="791"/>
      <c r="F94" s="791"/>
      <c r="G94" s="791"/>
      <c r="H94" s="791"/>
      <c r="I94" s="791"/>
      <c r="J94" s="791"/>
      <c r="K94" s="302"/>
      <c r="L94" s="302"/>
      <c r="M94" s="316"/>
    </row>
    <row r="95" spans="1:26" ht="15.75">
      <c r="A95" s="21"/>
      <c r="B95" s="21"/>
      <c r="C95" s="21"/>
      <c r="D95" s="21"/>
      <c r="E95" s="21"/>
      <c r="F95" s="21"/>
      <c r="G95" s="21"/>
      <c r="H95" s="117"/>
      <c r="I95" s="21"/>
      <c r="J95" s="117"/>
      <c r="K95" s="117"/>
      <c r="L95" s="117"/>
      <c r="M95" s="343"/>
      <c r="Q95" s="1" t="s">
        <v>390</v>
      </c>
    </row>
    <row r="96" spans="1:26" ht="15.75">
      <c r="A96" s="792" t="s">
        <v>386</v>
      </c>
      <c r="B96" s="792"/>
      <c r="C96" s="792"/>
      <c r="D96" s="792"/>
      <c r="E96" s="792"/>
      <c r="F96" s="792"/>
      <c r="G96" s="792"/>
      <c r="H96" s="792"/>
      <c r="I96" s="792"/>
      <c r="J96" s="792"/>
      <c r="K96" s="176"/>
      <c r="L96" s="176"/>
      <c r="M96" s="344"/>
      <c r="Q96" s="341" t="s">
        <v>386</v>
      </c>
      <c r="R96" s="176"/>
      <c r="S96" s="176"/>
      <c r="T96" s="176"/>
      <c r="U96" s="176"/>
      <c r="V96" s="176"/>
      <c r="W96" s="176"/>
      <c r="X96" s="176"/>
      <c r="Y96" s="176"/>
      <c r="Z96" s="176"/>
    </row>
    <row r="97" spans="1:26" ht="15.75">
      <c r="A97" s="792" t="s">
        <v>872</v>
      </c>
      <c r="B97" s="792"/>
      <c r="C97" s="792"/>
      <c r="D97" s="792"/>
      <c r="E97" s="792"/>
      <c r="F97" s="792"/>
      <c r="G97" s="792"/>
      <c r="H97" s="792"/>
      <c r="I97" s="792"/>
      <c r="J97" s="792"/>
      <c r="K97" s="176"/>
      <c r="L97" s="176"/>
      <c r="M97" s="344"/>
      <c r="Q97" s="341" t="s">
        <v>930</v>
      </c>
      <c r="R97" s="176"/>
      <c r="S97" s="176"/>
      <c r="T97" s="176"/>
      <c r="U97" s="176"/>
      <c r="V97" s="176"/>
      <c r="W97" s="176"/>
      <c r="X97" s="176"/>
      <c r="Y97" s="176"/>
      <c r="Z97" s="176"/>
    </row>
    <row r="98" spans="1:26">
      <c r="B98" s="2"/>
      <c r="C98" s="2"/>
      <c r="D98" s="2"/>
      <c r="E98" s="2"/>
      <c r="F98" s="2"/>
      <c r="G98" s="2"/>
      <c r="H98" s="119"/>
      <c r="I98" s="2"/>
      <c r="J98" s="119"/>
      <c r="K98" s="119"/>
      <c r="L98" s="119"/>
      <c r="M98" s="336"/>
      <c r="Q98" s="342"/>
      <c r="R98" s="2"/>
      <c r="S98" s="2"/>
      <c r="T98" s="2"/>
      <c r="U98" s="2"/>
      <c r="V98" s="2"/>
      <c r="W98" s="2"/>
      <c r="X98" s="2"/>
      <c r="Y98" s="2"/>
      <c r="Z98" s="2"/>
    </row>
    <row r="99" spans="1:26" ht="15" customHeight="1">
      <c r="A99" s="45"/>
      <c r="B99" s="57" t="s">
        <v>419</v>
      </c>
      <c r="C99" s="57"/>
      <c r="D99" s="27"/>
      <c r="E99" s="27"/>
      <c r="F99" s="28"/>
      <c r="G99" s="58" t="s">
        <v>397</v>
      </c>
      <c r="H99" s="103"/>
      <c r="I99" s="30"/>
      <c r="J99" s="104"/>
      <c r="K99" s="308" t="s">
        <v>380</v>
      </c>
      <c r="L99" s="308"/>
      <c r="M99" s="308"/>
      <c r="Q99" s="45"/>
      <c r="R99" s="57" t="s">
        <v>419</v>
      </c>
      <c r="S99" s="57"/>
      <c r="T99" s="27"/>
      <c r="U99" s="27"/>
      <c r="V99" s="28"/>
      <c r="W99" s="58" t="s">
        <v>397</v>
      </c>
      <c r="X99" s="29"/>
      <c r="Y99" s="30"/>
      <c r="Z99" s="31"/>
    </row>
    <row r="100" spans="1:26" ht="36">
      <c r="A100" s="46"/>
      <c r="B100" s="59" t="s">
        <v>501</v>
      </c>
      <c r="C100" s="47">
        <v>1</v>
      </c>
      <c r="D100" s="47">
        <v>2</v>
      </c>
      <c r="E100" s="47">
        <v>3</v>
      </c>
      <c r="F100" s="60" t="s">
        <v>382</v>
      </c>
      <c r="G100" s="61">
        <v>1</v>
      </c>
      <c r="H100" s="106">
        <v>2</v>
      </c>
      <c r="I100" s="59" t="s">
        <v>379</v>
      </c>
      <c r="J100" s="105" t="s">
        <v>382</v>
      </c>
      <c r="K100" s="135"/>
      <c r="L100" s="135"/>
      <c r="M100" s="135"/>
      <c r="Q100" s="46"/>
      <c r="R100" s="59" t="s">
        <v>501</v>
      </c>
      <c r="S100" s="47">
        <v>1</v>
      </c>
      <c r="T100" s="47">
        <v>2</v>
      </c>
      <c r="U100" s="47">
        <v>3</v>
      </c>
      <c r="V100" s="60" t="s">
        <v>382</v>
      </c>
      <c r="W100" s="61">
        <v>1</v>
      </c>
      <c r="X100" s="48">
        <v>2</v>
      </c>
      <c r="Y100" s="59" t="s">
        <v>379</v>
      </c>
      <c r="Z100" s="47" t="s">
        <v>382</v>
      </c>
    </row>
    <row r="101" spans="1:26" ht="15" customHeight="1">
      <c r="A101" s="1" t="s">
        <v>420</v>
      </c>
      <c r="B101" s="5">
        <f>+GETPIVOTDATA("Undergrad Student Credit Hour FTE - New",'FTE Pivot for regular counts'!$A$2,"Category","7","Category2","Two-Year")</f>
        <v>122138.63333333333</v>
      </c>
      <c r="C101" s="15">
        <f>+GETPIVOTDATA("Undergrad Student Credit Hour FTE - New",'FTE Pivot for regular counts'!$A$2,"Category","8","Category2","Two-Year")</f>
        <v>911334.4833333334</v>
      </c>
      <c r="D101" s="5">
        <f>+GETPIVOTDATA("Undergrad Student Credit Hour FTE - New",'FTE Pivot for regular counts'!$A$2,"Category","9","Category2","Two-Year")</f>
        <v>552649.7333333334</v>
      </c>
      <c r="E101" s="5">
        <f>+GETPIVOTDATA("Undergrad Student Credit Hour FTE - New",'FTE Pivot for regular counts'!$A$2,"Category","10","Category2","Two-Year")</f>
        <v>162960.02500000002</v>
      </c>
      <c r="F101" s="23">
        <f>+GETPIVOTDATA("Undergrad Student Credit Hour FTE - New",'FTE Pivot for regular counts'!$A$2,"Category2","Two-Year")</f>
        <v>1749082.8749999998</v>
      </c>
      <c r="G101" s="18">
        <f>+GETPIVOTDATA("Undergrad Student Credit Hour FTE - New",'FTE Pivot for regular counts'!$A$2,"Category","12","Category2","Technical")</f>
        <v>91409.686666666676</v>
      </c>
      <c r="H101" s="115">
        <f>+GETPIVOTDATA("Undergrad Student Credit Hour FTE - New",'FTE Pivot for regular counts'!$A$2,"Category","13","Category2","Technical")</f>
        <v>6167.4955555555553</v>
      </c>
      <c r="I101" s="15">
        <f>+GETPIVOTDATA("Undergrad Student Credit Hour FTE - New",'FTE Pivot for regular counts'!$A$2,"Category",14,"Category2","Technical")</f>
        <v>16622.283333333333</v>
      </c>
      <c r="J101" s="4">
        <f>+GETPIVOTDATA("Undergrad Student Credit Hour FTE - New",'FTE Pivot for regular counts'!$A$2,"Category2","Technical")</f>
        <v>114199.46555555557</v>
      </c>
      <c r="Q101" s="1" t="s">
        <v>420</v>
      </c>
      <c r="R101" s="5">
        <f>+GETPIVOTDATA("Undergrad Student Credit Hour  FTE - Old",'FTE Pivot for regular counts'!$A$2,"Category","7","Category2","Two-Year")</f>
        <v>110544.33333333334</v>
      </c>
      <c r="S101" s="15">
        <f>+GETPIVOTDATA("Undergrad Student Credit Hour  FTE - Old",'FTE Pivot for regular counts'!$A$2,"Category","8","Category2","Two-Year")</f>
        <v>821062.73266666685</v>
      </c>
      <c r="T101" s="5">
        <f>+GETPIVOTDATA("Undergrad Student Credit Hour  FTE - Old",'FTE Pivot for regular counts'!$A$2,"Category","9","Category2","Two-Year")</f>
        <v>497765.71166666667</v>
      </c>
      <c r="U101" s="5">
        <f>+GETPIVOTDATA("Undergrad Student Credit Hour  FTE - Old",'FTE Pivot for regular counts'!$A$2,"Category","10","Category2","Two-Year")</f>
        <v>144343.4996666667</v>
      </c>
      <c r="V101" s="23">
        <f>+GETPIVOTDATA("Undergrad Student Credit Hour  FTE - Old",'FTE Pivot for regular counts'!$A$2,"Category2","Two-Year")</f>
        <v>1573716.2773333332</v>
      </c>
      <c r="W101" s="18">
        <f>+GETPIVOTDATA("Undergrad Student Credit Hour  FTE - Old",'FTE Pivot for regular counts'!$A$2,"Category","12","Category2","Technical")</f>
        <v>75911.724444444451</v>
      </c>
      <c r="X101" s="15">
        <f>+GETPIVOTDATA("Undergrad Student Credit Hour  FTE - Old",'FTE Pivot for regular counts'!$A$2,"Category","13","Category2","Technical")</f>
        <v>4929.4944444444445</v>
      </c>
      <c r="Y101" s="15">
        <f>+GETPIVOTDATA("Undergrad Student Credit Hour  FTE - Old",'FTE Pivot for regular counts'!$A$2,"Category",14,"Category2","Technical")</f>
        <v>14085.35</v>
      </c>
      <c r="Z101" s="1">
        <f>+GETPIVOTDATA("Undergrad Student Credit Hour  FTE - Old",'FTE Pivot for regular counts'!$A$2,"Category2","Technical")</f>
        <v>94926.568888888898</v>
      </c>
    </row>
    <row r="102" spans="1:26" ht="15" customHeight="1">
      <c r="B102" s="5"/>
      <c r="C102" s="15"/>
      <c r="D102" s="5"/>
      <c r="E102" s="5"/>
      <c r="F102" s="23"/>
      <c r="G102" s="18"/>
      <c r="H102" s="115"/>
      <c r="I102" s="15"/>
      <c r="R102" s="5"/>
      <c r="S102" s="15"/>
      <c r="T102" s="5"/>
      <c r="U102" s="5"/>
      <c r="V102" s="23"/>
      <c r="W102" s="18"/>
      <c r="X102" s="15"/>
      <c r="Y102" s="15"/>
    </row>
    <row r="103" spans="1:26" ht="15" customHeight="1">
      <c r="A103" s="1" t="s">
        <v>421</v>
      </c>
      <c r="B103" s="5">
        <f>+GETPIVOTDATA("Undergrad Student Credit Hour FTE - New",'FTE Pivot for regular counts'!$A$2,"State","AL","Category","7","Category2","Two-Year")</f>
        <v>0</v>
      </c>
      <c r="C103" s="15">
        <f>+GETPIVOTDATA("Undergrad Student Credit Hour FTE - New",'FTE Pivot for regular counts'!$A$2,"State","AL","Category","8","Category2","Two-Year")</f>
        <v>13331</v>
      </c>
      <c r="D103" s="5">
        <f>+GETPIVOTDATA("Undergrad Student Credit Hour FTE - New",'FTE Pivot for regular counts'!$A$2,"State","AL","Category","9","Category2","Two-Year")</f>
        <v>40127.833333333328</v>
      </c>
      <c r="E103" s="5">
        <f>+GETPIVOTDATA("Undergrad Student Credit Hour FTE - New",'FTE Pivot for regular counts'!$A$2,"State","AL","Category","10","Category2","Two-Year")</f>
        <v>16089.9</v>
      </c>
      <c r="F103" s="23">
        <f>+GETPIVOTDATA("Undergrad Student Credit Hour FTE - New",'FTE Pivot for regular counts'!$A$2,"State","AL","Category2","Two-Year")</f>
        <v>69548.733333333323</v>
      </c>
      <c r="G103" s="18">
        <f>+GETPIVOTDATA("Undergrad Student Credit Hour FTE - New",'FTE Pivot for regular counts'!$A$2,"State","AL","Category","12","Category2","Technical")</f>
        <v>1467.3</v>
      </c>
      <c r="H103" s="115">
        <f>+GETPIVOTDATA("Undergrad Student Credit Hour FTE - New",'FTE Pivot for regular counts'!$A$2,"State","AL","Category","13","Category2","Technical")</f>
        <v>2415.7333333333331</v>
      </c>
      <c r="I103" s="15">
        <f>+GETPIVOTDATA("Undergrad Student Credit Hour FTE - New",'FTE Pivot for regular counts'!$A$2,"State","AL","Category",14,"Category2","Technical")</f>
        <v>0</v>
      </c>
      <c r="J103" s="4">
        <f>+GETPIVOTDATA("Undergrad Student Credit Hour FTE - New",'FTE Pivot for regular counts'!$A$2,"State","AL","Category2","Technical")</f>
        <v>3883.0333333333328</v>
      </c>
      <c r="Q103" s="1" t="s">
        <v>421</v>
      </c>
      <c r="R103" s="5">
        <f>+GETPIVOTDATA("Undergrad Student Credit Hour  FTE - Old",'FTE Pivot for regular counts'!$A$2,"State","AL","Category","7","Category2","Two-Year")</f>
        <v>0</v>
      </c>
      <c r="S103" s="15">
        <f>+GETPIVOTDATA("Undergrad Student Credit Hour  FTE - Old",'FTE Pivot for regular counts'!$A$2,"State","AL","Category","8","Category2","Two-Year")</f>
        <v>12510.366666666665</v>
      </c>
      <c r="T103" s="5">
        <f>+GETPIVOTDATA("Undergrad Student Credit Hour  FTE - Old",'FTE Pivot for regular counts'!$A$2,"State","AL","Category","9","Category2","Two-Year")</f>
        <v>35622.333333333336</v>
      </c>
      <c r="U103" s="5">
        <f>+GETPIVOTDATA("Undergrad Student Credit Hour  FTE - Old",'FTE Pivot for regular counts'!$A$2,"State","AL","Category","10","Category2","Two-Year")</f>
        <v>14533.866666666669</v>
      </c>
      <c r="V103" s="23">
        <f>+GETPIVOTDATA("Undergrad Student Credit Hour  FTE - Old",'FTE Pivot for regular counts'!$A$2,"State","AL","Category2","Two-Year")</f>
        <v>62666.566666666666</v>
      </c>
      <c r="W103" s="18">
        <f>+GETPIVOTDATA("Undergrad Student Credit Hour  FTE - Old",'FTE Pivot for regular counts'!$A$2,"State","AL","Category","12","Category2","Technical")</f>
        <v>1225.2666666666667</v>
      </c>
      <c r="X103" s="15">
        <f>+GETPIVOTDATA("Undergrad Student Credit Hour  FTE - Old",'FTE Pivot for regular counts'!$A$2,"State","AL","Category","13","Category2","Technical")</f>
        <v>1885.5</v>
      </c>
      <c r="Y103" s="15">
        <f>+GETPIVOTDATA("Undergrad Student Credit Hour  FTE - Old",'FTE Pivot for regular counts'!$A$2,"State","AL","Category",14,"Category2","Technical")</f>
        <v>0</v>
      </c>
      <c r="Z103" s="1">
        <f>+GETPIVOTDATA("Undergrad Student Credit Hour  FTE - Old",'FTE Pivot for regular counts'!$A$2,"State","AL","Category2","Technical")</f>
        <v>3110.7666666666664</v>
      </c>
    </row>
    <row r="104" spans="1:26" ht="15" customHeight="1">
      <c r="A104" s="4" t="s">
        <v>422</v>
      </c>
      <c r="B104" s="15">
        <f>+GETPIVOTDATA("Undergrad Student Credit Hour FTE - New",'FTE Pivot for regular counts'!$A$2,"State","AR","Category","7","Category2","Two-Year")</f>
        <v>0</v>
      </c>
      <c r="C104" s="15">
        <f>+GETPIVOTDATA("Undergrad Student Credit Hour FTE - New",'FTE Pivot for regular counts'!$A$2,"State","AR","Category","8","Category2","Two-Year")</f>
        <v>7079.9</v>
      </c>
      <c r="D104" s="15">
        <f>+GETPIVOTDATA("Undergrad Student Credit Hour FTE - New",'FTE Pivot for regular counts'!$A$2,"State","AR","Category","9","Category2","Two-Year")</f>
        <v>8478.7999999999993</v>
      </c>
      <c r="E104" s="15">
        <f>+GETPIVOTDATA("Undergrad Student Credit Hour FTE - New",'FTE Pivot for regular counts'!$A$2,"State","AR","Category","10","Category2","Two-Year")</f>
        <v>25153.999999999996</v>
      </c>
      <c r="F104" s="23">
        <f>+GETPIVOTDATA("Undergrad Student Credit Hour FTE - New",'FTE Pivot for regular counts'!$A$2,"State","AR","Category2","Two-Year")</f>
        <v>40712.699999999997</v>
      </c>
      <c r="G104" s="18">
        <f>+GETPIVOTDATA("Undergrad Student Credit Hour FTE - New",'FTE Pivot for regular counts'!$A$2,"State","AR","Category","12","Category2","Technical")</f>
        <v>0</v>
      </c>
      <c r="H104" s="115">
        <f>+GETPIVOTDATA("Undergrad Student Credit Hour FTE - New",'FTE Pivot for regular counts'!$A$2,"State","AR","Category","13","Category2","Technical")</f>
        <v>0</v>
      </c>
      <c r="I104" s="15">
        <f>+GETPIVOTDATA("Undergrad Student Credit Hour FTE - New",'FTE Pivot for regular counts'!$A$2,"State","AR","Category",14,"Category2","Technical")</f>
        <v>0</v>
      </c>
      <c r="J104" s="74">
        <f>+GETPIVOTDATA("Undergrad Student Credit Hour FTE - New",'FTE Pivot for regular counts'!$A$2,"State","AR","Category2","Technical")</f>
        <v>0</v>
      </c>
      <c r="K104" s="74"/>
      <c r="L104" s="74"/>
      <c r="Q104" s="4" t="s">
        <v>422</v>
      </c>
      <c r="R104" s="15">
        <f>+GETPIVOTDATA("Undergrad Student Credit Hour  FTE - Old",'FTE Pivot for regular counts'!$A$2,"State","AR","Category","7","Category2","Two-Year")</f>
        <v>0</v>
      </c>
      <c r="S104" s="15">
        <f>+GETPIVOTDATA("Undergrad Student Credit Hour  FTE - Old",'FTE Pivot for regular counts'!$A$2,"State","AR","Category","8","Category2","Two-Year")</f>
        <v>6341.166666666667</v>
      </c>
      <c r="T104" s="15">
        <f>+GETPIVOTDATA("Undergrad Student Credit Hour  FTE - Old",'FTE Pivot for regular counts'!$A$2,"State","AR","Category","9","Category2","Two-Year")</f>
        <v>7718.1666666666661</v>
      </c>
      <c r="U104" s="15">
        <f>+GETPIVOTDATA("Undergrad Student Credit Hour  FTE - Old",'FTE Pivot for regular counts'!$A$2,"State","AR","Category","10","Category2","Two-Year")</f>
        <v>22681.599999999999</v>
      </c>
      <c r="V104" s="23">
        <f>+GETPIVOTDATA("Undergrad Student Credit Hour  FTE - Old",'FTE Pivot for regular counts'!$A$2,"State","AR","Category2","Two-Year")</f>
        <v>36740.933333333334</v>
      </c>
      <c r="W104" s="18">
        <f>+GETPIVOTDATA("Undergrad Student Credit Hour  FTE - Old",'FTE Pivot for regular counts'!$A$2,"State","AR","Category","12","Category2","Technical")</f>
        <v>0</v>
      </c>
      <c r="X104" s="15">
        <f>+GETPIVOTDATA("Undergrad Student Credit Hour  FTE - Old",'FTE Pivot for regular counts'!$A$2,"State","AR","Category","13","Category2","Technical")</f>
        <v>0</v>
      </c>
      <c r="Y104" s="15">
        <f>+GETPIVOTDATA("Undergrad Student Credit Hour  FTE - Old",'FTE Pivot for regular counts'!$A$2,"State","AR","Category",14,"Category2","Technical")</f>
        <v>0</v>
      </c>
      <c r="Z104" s="25">
        <f>+GETPIVOTDATA("Undergrad Student Credit Hour  FTE - Old",'FTE Pivot for regular counts'!$A$2,"State","AR","Category2","Technical")</f>
        <v>0</v>
      </c>
    </row>
    <row r="105" spans="1:26" ht="15" customHeight="1">
      <c r="A105" s="1" t="s">
        <v>459</v>
      </c>
      <c r="B105" s="15">
        <f>+GETPIVOTDATA("Undergrad Student Credit Hour FTE - New",'FTE Pivot for regular counts'!$A$2,"State","DE","Category","7","Category2","Two-Year")</f>
        <v>0</v>
      </c>
      <c r="C105" s="15">
        <f>+GETPIVOTDATA("Undergrad Student Credit Hour FTE - New",'FTE Pivot for regular counts'!$A$2,"State","DE","Category","8","Category2","Two-Year")</f>
        <v>0</v>
      </c>
      <c r="D105" s="15">
        <f>+GETPIVOTDATA("Undergrad Student Credit Hour FTE - New",'FTE Pivot for regular counts'!$A$2,"State","DE","Category","9","Category2","Two-Year")</f>
        <v>10906.933333333334</v>
      </c>
      <c r="E105" s="15">
        <f>+GETPIVOTDATA("Undergrad Student Credit Hour FTE - New",'FTE Pivot for regular counts'!$A$2,"State","DE","Category","10","Category2","Two-Year")</f>
        <v>0</v>
      </c>
      <c r="F105" s="23">
        <f>+GETPIVOTDATA("Undergrad Student Credit Hour FTE - New",'FTE Pivot for regular counts'!$A$2,"State","DE","Category2","Two-Year")</f>
        <v>10906.933333333334</v>
      </c>
      <c r="G105" s="18">
        <f>+GETPIVOTDATA("Undergrad Student Credit Hour FTE - New",'FTE Pivot for regular counts'!$A$2,"State","DE","Category","12","Category2","Technical")</f>
        <v>0</v>
      </c>
      <c r="H105" s="115">
        <f>+GETPIVOTDATA("Undergrad Student Credit Hour FTE - New",'FTE Pivot for regular counts'!$A$2,"State","DE","Category","13","Category2","Technical")</f>
        <v>0</v>
      </c>
      <c r="I105" s="15">
        <f>+GETPIVOTDATA("Undergrad Student Credit Hour FTE - New",'FTE Pivot for regular counts'!$A$2,"State","DE","Category",14,"Category2","Technical")</f>
        <v>0</v>
      </c>
      <c r="J105" s="74">
        <f>+GETPIVOTDATA("Undergrad Student Credit Hour FTE - New",'FTE Pivot for regular counts'!$A$2,"State","DE","Category2","Technical")</f>
        <v>0</v>
      </c>
      <c r="K105" s="74"/>
      <c r="L105" s="74"/>
      <c r="Q105" s="1" t="s">
        <v>459</v>
      </c>
      <c r="R105" s="15">
        <f>+GETPIVOTDATA("Undergrad Student Credit Hour  FTE - Old",'FTE Pivot for regular counts'!$A$2,"State","DE","Category","7","Category2","Two-Year")</f>
        <v>0</v>
      </c>
      <c r="S105" s="15">
        <f>+GETPIVOTDATA("Undergrad Student Credit Hour  FTE - Old",'FTE Pivot for regular counts'!$A$2,"State","DE","Category","8","Category2","Two-Year")</f>
        <v>0</v>
      </c>
      <c r="T105" s="15">
        <f>+GETPIVOTDATA("Undergrad Student Credit Hour  FTE - Old",'FTE Pivot for regular counts'!$A$2,"State","DE","Category","9","Category2","Two-Year")</f>
        <v>9642.5666666666657</v>
      </c>
      <c r="U105" s="15">
        <f>+GETPIVOTDATA("Undergrad Student Credit Hour  FTE - Old",'FTE Pivot for regular counts'!$A$2,"State","DE","Category","10","Category2","Two-Year")</f>
        <v>0</v>
      </c>
      <c r="V105" s="23">
        <f>+GETPIVOTDATA("Undergrad Student Credit Hour  FTE - Old",'FTE Pivot for regular counts'!$A$2,"State","DE","Category2","Two-Year")</f>
        <v>9642.5666666666657</v>
      </c>
      <c r="W105" s="18">
        <f>+GETPIVOTDATA("Undergrad Student Credit Hour  FTE - Old",'FTE Pivot for regular counts'!$A$2,"State","DE","Category","12","Category2","Technical")</f>
        <v>0</v>
      </c>
      <c r="X105" s="15">
        <f>+GETPIVOTDATA("Undergrad Student Credit Hour  FTE - Old",'FTE Pivot for regular counts'!$A$2,"State","DE","Category","13","Category2","Technical")</f>
        <v>0</v>
      </c>
      <c r="Y105" s="15">
        <f>+GETPIVOTDATA("Undergrad Student Credit Hour  FTE - Old",'FTE Pivot for regular counts'!$A$2,"State","DE","Category",14,"Category2","Technical")</f>
        <v>0</v>
      </c>
      <c r="Z105" s="25">
        <f>+GETPIVOTDATA("Undergrad Student Credit Hour  FTE - Old",'FTE Pivot for regular counts'!$A$2,"State","DE","Category2","Technical")</f>
        <v>0</v>
      </c>
    </row>
    <row r="106" spans="1:26" ht="15" customHeight="1">
      <c r="A106" s="1" t="s">
        <v>423</v>
      </c>
      <c r="B106" s="15">
        <f>+GETPIVOTDATA("Undergrad Student Credit Hour FTE - New",'FTE Pivot for regular counts'!$A$2,"State","FL","Category","7","Category2","Two-Year")</f>
        <v>86789</v>
      </c>
      <c r="C106" s="15">
        <f>+GETPIVOTDATA("Undergrad Student Credit Hour FTE - New",'FTE Pivot for regular counts'!$A$2,"State","FL","Category","8","Category2","Two-Year")</f>
        <v>201907.86666666667</v>
      </c>
      <c r="D106" s="15">
        <f>+GETPIVOTDATA("Undergrad Student Credit Hour FTE - New",'FTE Pivot for regular counts'!$A$2,"State","FL","Category","9","Category2","Two-Year")</f>
        <v>20284.266666666666</v>
      </c>
      <c r="E106" s="15">
        <f>+GETPIVOTDATA("Undergrad Student Credit Hour FTE - New",'FTE Pivot for regular counts'!$A$2,"State","FL","Category","10","Category2","Two-Year")</f>
        <v>1684.9333333333334</v>
      </c>
      <c r="F106" s="23">
        <f>+GETPIVOTDATA("Undergrad Student Credit Hour FTE - New",'FTE Pivot for regular counts'!$A$2,"State","FL","Category2","Two-Year")</f>
        <v>310666.06666666671</v>
      </c>
      <c r="G106" s="18">
        <f>+GETPIVOTDATA("Undergrad Student Credit Hour FTE - New",'FTE Pivot for regular counts'!$A$2,"State","FL","Category","12","Category2","Technical")</f>
        <v>0</v>
      </c>
      <c r="H106" s="115">
        <f>+GETPIVOTDATA("Undergrad Student Credit Hour FTE - New",'FTE Pivot for regular counts'!$A$2,"State","FL","Category","13","Category2","Technical")</f>
        <v>0</v>
      </c>
      <c r="I106" s="15">
        <f>+GETPIVOTDATA("Undergrad Student Credit Hour FTE - New",'FTE Pivot for regular counts'!$A$2,"State","FL","Category",14,"Category2","Technical")</f>
        <v>0</v>
      </c>
      <c r="J106" s="74">
        <f>+GETPIVOTDATA("Undergrad Student Credit Hour FTE - New",'FTE Pivot for regular counts'!$A$2,"State","FL","Category2","Technical")</f>
        <v>0</v>
      </c>
      <c r="K106" s="74"/>
      <c r="L106" s="74"/>
      <c r="Q106" s="1" t="s">
        <v>423</v>
      </c>
      <c r="R106" s="15">
        <f>+GETPIVOTDATA("Undergrad Student Credit Hour  FTE - Old",'FTE Pivot for regular counts'!$A$2,"State","FL","Category","7","Category2","Two-Year")</f>
        <v>79179.433333333334</v>
      </c>
      <c r="S106" s="15">
        <f>+GETPIVOTDATA("Undergrad Student Credit Hour  FTE - Old",'FTE Pivot for regular counts'!$A$2,"State","FL","Category","8","Category2","Two-Year")</f>
        <v>179530.69999999998</v>
      </c>
      <c r="T106" s="15">
        <f>+GETPIVOTDATA("Undergrad Student Credit Hour  FTE - Old",'FTE Pivot for regular counts'!$A$2,"State","FL","Category","9","Category2","Two-Year")</f>
        <v>18222.366666666669</v>
      </c>
      <c r="U106" s="15">
        <f>+GETPIVOTDATA("Undergrad Student Credit Hour  FTE - Old",'FTE Pivot for regular counts'!$A$2,"State","FL","Category","10","Category2","Two-Year")</f>
        <v>1549.8000000000002</v>
      </c>
      <c r="V106" s="23">
        <f>+GETPIVOTDATA("Undergrad Student Credit Hour  FTE - Old",'FTE Pivot for regular counts'!$A$2,"State","FL","Category2","Two-Year")</f>
        <v>278482.3</v>
      </c>
      <c r="W106" s="18">
        <f>+GETPIVOTDATA("Undergrad Student Credit Hour  FTE - Old",'FTE Pivot for regular counts'!$A$2,"State","FL","Category","12","Category2","Technical")</f>
        <v>0</v>
      </c>
      <c r="X106" s="15">
        <f>+GETPIVOTDATA("Undergrad Student Credit Hour  FTE - Old",'FTE Pivot for regular counts'!$A$2,"State","FL","Category","13","Category2","Technical")</f>
        <v>0</v>
      </c>
      <c r="Y106" s="15">
        <f>+GETPIVOTDATA("Undergrad Student Credit Hour  FTE - Old",'FTE Pivot for regular counts'!$A$2,"State","FL","Category",14,"Category2","Technical")</f>
        <v>0</v>
      </c>
      <c r="Z106" s="25">
        <f>+GETPIVOTDATA("Undergrad Student Credit Hour  FTE - Old",'FTE Pivot for regular counts'!$A$2,"State","FL","Category2","Technical")</f>
        <v>0</v>
      </c>
    </row>
    <row r="107" spans="1:26" ht="15" customHeight="1">
      <c r="B107" s="15"/>
      <c r="C107" s="15"/>
      <c r="D107" s="15"/>
      <c r="E107" s="15"/>
      <c r="F107" s="23"/>
      <c r="G107" s="18"/>
      <c r="H107" s="115"/>
      <c r="I107" s="15"/>
      <c r="J107" s="74"/>
      <c r="K107" s="74"/>
      <c r="L107" s="74"/>
      <c r="R107" s="15"/>
      <c r="S107" s="15"/>
      <c r="T107" s="15"/>
      <c r="U107" s="15"/>
      <c r="V107" s="23"/>
      <c r="W107" s="18"/>
      <c r="X107" s="15"/>
      <c r="Y107" s="15"/>
      <c r="Z107" s="25"/>
    </row>
    <row r="108" spans="1:26" ht="15" customHeight="1">
      <c r="A108" s="1" t="s">
        <v>424</v>
      </c>
      <c r="B108" s="15">
        <f>+GETPIVOTDATA("Undergrad Student Credit Hour FTE - New",'FTE Pivot for regular counts'!$A$2,"State","GA","Category","7","Category2","Two-Year")</f>
        <v>4170.8</v>
      </c>
      <c r="C108" s="15">
        <f>+GETPIVOTDATA("Undergrad Student Credit Hour FTE - New",'FTE Pivot for regular counts'!$A$2,"State","GA","Category","8","Category2","Two-Year")</f>
        <v>18632.733333333334</v>
      </c>
      <c r="D108" s="15">
        <f>+GETPIVOTDATA("Undergrad Student Credit Hour FTE - New",'FTE Pivot for regular counts'!$A$2,"State","GA","Category","9","Category2","Two-Year")</f>
        <v>29556.2</v>
      </c>
      <c r="E108" s="15">
        <f>+GETPIVOTDATA("Undergrad Student Credit Hour FTE - New",'FTE Pivot for regular counts'!$A$2,"State","GA","Category","10","Category2","Two-Year")</f>
        <v>6902.8333333333339</v>
      </c>
      <c r="F108" s="23">
        <f>+GETPIVOTDATA("Undergrad Student Credit Hour FTE - New",'FTE Pivot for regular counts'!$A$2,"State","GA","Category2","Two-Year")</f>
        <v>59262.566666666673</v>
      </c>
      <c r="G108" s="18">
        <f>+GETPIVOTDATA("Undergrad Student Credit Hour FTE - New",'FTE Pivot for regular counts'!$A$2,"State","GA","Category","12","Category2","Technical")</f>
        <v>84499.953333333338</v>
      </c>
      <c r="H108" s="115">
        <f>+GETPIVOTDATA("Undergrad Student Credit Hour FTE - New",'FTE Pivot for regular counts'!$A$2,"State","GA","Category","13","Category2","Technical")</f>
        <v>2673.8955555555553</v>
      </c>
      <c r="I108" s="15">
        <f>+GETPIVOTDATA("Undergrad Student Credit Hour FTE - New",'FTE Pivot for regular counts'!$A$2,"State","GA","Category",14,"Category2","Technical")</f>
        <v>0</v>
      </c>
      <c r="J108" s="74">
        <f>+GETPIVOTDATA("Undergrad Student Credit Hour FTE - New",'FTE Pivot for regular counts'!$A$2,"State","GA","Category2","Technical")</f>
        <v>87173.848888888897</v>
      </c>
      <c r="K108" s="74"/>
      <c r="L108" s="74"/>
      <c r="Q108" s="1" t="s">
        <v>424</v>
      </c>
      <c r="R108" s="15">
        <f>+GETPIVOTDATA("Undergrad Student Credit Hour  FTE - Old",'FTE Pivot for regular counts'!$A$2,"State","GA","Category","7","Category2","Two-Year")</f>
        <v>3503.7333333333331</v>
      </c>
      <c r="S108" s="15">
        <f>+GETPIVOTDATA("Undergrad Student Credit Hour  FTE - Old",'FTE Pivot for regular counts'!$A$2,"State","GA","Category","8","Category2","Two-Year")</f>
        <v>16582.099999999999</v>
      </c>
      <c r="T108" s="15">
        <f>+GETPIVOTDATA("Undergrad Student Credit Hour  FTE - Old",'FTE Pivot for regular counts'!$A$2,"State","GA","Category","9","Category2","Two-Year")</f>
        <v>26468.216666666671</v>
      </c>
      <c r="U108" s="15">
        <f>+GETPIVOTDATA("Undergrad Student Credit Hour  FTE - Old",'FTE Pivot for regular counts'!$A$2,"State","GA","Category","10","Category2","Two-Year")</f>
        <v>5904.4333333333334</v>
      </c>
      <c r="V108" s="23">
        <f>+GETPIVOTDATA("Undergrad Student Credit Hour  FTE - Old",'FTE Pivot for regular counts'!$A$2,"State","GA","Category2","Two-Year")</f>
        <v>52458.483333333337</v>
      </c>
      <c r="W108" s="18">
        <f>+GETPIVOTDATA("Undergrad Student Credit Hour  FTE - Old",'FTE Pivot for regular counts'!$A$2,"State","GA","Category","12","Category2","Technical")</f>
        <v>70299.157777777786</v>
      </c>
      <c r="X108" s="15">
        <f>+GETPIVOTDATA("Undergrad Student Credit Hour  FTE - Old",'FTE Pivot for regular counts'!$A$2,"State","GA","Category","13","Category2","Technical")</f>
        <v>2122.7777777777778</v>
      </c>
      <c r="Y108" s="15">
        <f>+GETPIVOTDATA("Undergrad Student Credit Hour  FTE - Old",'FTE Pivot for regular counts'!$A$2,"State","GA","Category",14,"Category2","Technical")</f>
        <v>0</v>
      </c>
      <c r="Z108" s="25">
        <f>+GETPIVOTDATA("Undergrad Student Credit Hour  FTE - Old",'FTE Pivot for regular counts'!$A$2,"State","GA","Category2","Technical")</f>
        <v>72421.935555555567</v>
      </c>
    </row>
    <row r="109" spans="1:26" ht="15" customHeight="1">
      <c r="A109" s="1" t="s">
        <v>425</v>
      </c>
      <c r="B109" s="15">
        <f>+GETPIVOTDATA("Undergrad Student Credit Hour FTE - New",'FTE Pivot for regular counts'!$A$2,"State","KY","Category","7","Category2","Two-Year")</f>
        <v>0</v>
      </c>
      <c r="C109" s="15">
        <f>+GETPIVOTDATA("Undergrad Student Credit Hour FTE - New",'FTE Pivot for regular counts'!$A$2,"State","KY","Category","8","Category2","Two-Year")</f>
        <v>16963.5</v>
      </c>
      <c r="D109" s="15">
        <f>+GETPIVOTDATA("Undergrad Student Credit Hour FTE - New",'FTE Pivot for regular counts'!$A$2,"State","KY","Category","9","Category2","Two-Year")</f>
        <v>27180.26666666667</v>
      </c>
      <c r="E109" s="15">
        <f>+GETPIVOTDATA("Undergrad Student Credit Hour FTE - New",'FTE Pivot for regular counts'!$A$2,"State","KY","Category","10","Category2","Two-Year")</f>
        <v>5589.6666666666661</v>
      </c>
      <c r="F109" s="23">
        <f>+GETPIVOTDATA("Undergrad Student Credit Hour FTE - New",'FTE Pivot for regular counts'!$A$2,"State","KY","Category2","Two-Year")</f>
        <v>49733.433333333334</v>
      </c>
      <c r="G109" s="18">
        <f>+GETPIVOTDATA("Undergrad Student Credit Hour FTE - New",'FTE Pivot for regular counts'!$A$2,"State","KY","Category","12","Category2","Technical")</f>
        <v>3683.1666666666665</v>
      </c>
      <c r="H109" s="115">
        <f>+GETPIVOTDATA("Undergrad Student Credit Hour FTE - New",'FTE Pivot for regular counts'!$A$2,"State","KY","Category","13","Category2","Technical")</f>
        <v>0</v>
      </c>
      <c r="I109" s="15">
        <f>+GETPIVOTDATA("Undergrad Student Credit Hour FTE - New",'FTE Pivot for regular counts'!$A$2,"State","KY","Category",14,"Category2","Technical")</f>
        <v>0</v>
      </c>
      <c r="J109" s="74">
        <f>+GETPIVOTDATA("Undergrad Student Credit Hour FTE - New",'FTE Pivot for regular counts'!$A$2,"State","KY","Category2","Technical")</f>
        <v>3683.1666666666665</v>
      </c>
      <c r="K109" s="74"/>
      <c r="L109" s="74"/>
      <c r="Q109" s="1" t="s">
        <v>425</v>
      </c>
      <c r="R109" s="15">
        <f>+GETPIVOTDATA("Undergrad Student Credit Hour  FTE - Old",'FTE Pivot for regular counts'!$A$2,"State","KY","Category","7","Category2","Two-Year")</f>
        <v>0</v>
      </c>
      <c r="S109" s="15">
        <f>+GETPIVOTDATA("Undergrad Student Credit Hour  FTE - Old",'FTE Pivot for regular counts'!$A$2,"State","KY","Category","8","Category2","Two-Year")</f>
        <v>15828.433333333334</v>
      </c>
      <c r="T109" s="15">
        <f>+GETPIVOTDATA("Undergrad Student Credit Hour  FTE - Old",'FTE Pivot for regular counts'!$A$2,"State","KY","Category","9","Category2","Two-Year")</f>
        <v>24056.033333333333</v>
      </c>
      <c r="U109" s="15">
        <f>+GETPIVOTDATA("Undergrad Student Credit Hour  FTE - Old",'FTE Pivot for regular counts'!$A$2,"State","KY","Category","10","Category2","Two-Year")</f>
        <v>4960</v>
      </c>
      <c r="V109" s="23">
        <f>+GETPIVOTDATA("Undergrad Student Credit Hour  FTE - Old",'FTE Pivot for regular counts'!$A$2,"State","KY","Category2","Two-Year")</f>
        <v>44844.466666666667</v>
      </c>
      <c r="W109" s="18">
        <f>+GETPIVOTDATA("Undergrad Student Credit Hour  FTE - Old",'FTE Pivot for regular counts'!$A$2,"State","KY","Category","12","Category2","Technical")</f>
        <v>2928.8666666666668</v>
      </c>
      <c r="X109" s="15">
        <f>+GETPIVOTDATA("Undergrad Student Credit Hour  FTE - Old",'FTE Pivot for regular counts'!$A$2,"State","KY","Category","13","Category2","Technical")</f>
        <v>0</v>
      </c>
      <c r="Y109" s="15">
        <f>+GETPIVOTDATA("Undergrad Student Credit Hour  FTE - Old",'FTE Pivot for regular counts'!$A$2,"State","KY","Category",14,"Category2","Technical")</f>
        <v>0</v>
      </c>
      <c r="Z109" s="25">
        <f>+GETPIVOTDATA("Undergrad Student Credit Hour  FTE - Old",'FTE Pivot for regular counts'!$A$2,"State","KY","Category2","Technical")</f>
        <v>2928.8666666666668</v>
      </c>
    </row>
    <row r="110" spans="1:26" ht="15" customHeight="1">
      <c r="A110" s="1" t="s">
        <v>426</v>
      </c>
      <c r="B110" s="15">
        <f>+GETPIVOTDATA("Undergrad Student Credit Hour FTE - New",'FTE Pivot for regular counts'!$A$2,"State","LA","Category","7","Category2","Two-Year")</f>
        <v>1890.8</v>
      </c>
      <c r="C110" s="15">
        <f>+GETPIVOTDATA("Undergrad Student Credit Hour FTE - New",'FTE Pivot for regular counts'!$A$2,"State","LA","Category","8","Category2","Two-Year")</f>
        <v>11191.033333333333</v>
      </c>
      <c r="D110" s="15">
        <f>+GETPIVOTDATA("Undergrad Student Credit Hour FTE - New",'FTE Pivot for regular counts'!$A$2,"State","LA","Category","9","Category2","Two-Year")</f>
        <v>11311.233333333334</v>
      </c>
      <c r="E110" s="15">
        <f>+GETPIVOTDATA("Undergrad Student Credit Hour FTE - New",'FTE Pivot for regular counts'!$A$2,"State","LA","Category","10","Category2","Two-Year")</f>
        <v>7760.2866666666669</v>
      </c>
      <c r="F110" s="23">
        <f>+GETPIVOTDATA("Undergrad Student Credit Hour FTE - New",'FTE Pivot for regular counts'!$A$2,"State","LA","Category2","Two-Year")</f>
        <v>32153.353333333333</v>
      </c>
      <c r="G110" s="18">
        <f>+GETPIVOTDATA("Undergrad Student Credit Hour FTE - New",'FTE Pivot for regular counts'!$A$2,"State","LA","Category","12","Category2","Technical")</f>
        <v>1759.2666666666667</v>
      </c>
      <c r="H110" s="115">
        <f>+GETPIVOTDATA("Undergrad Student Credit Hour FTE - New",'FTE Pivot for regular counts'!$A$2,"State","LA","Category","13","Category2","Technical")</f>
        <v>1077.8666666666666</v>
      </c>
      <c r="I110" s="1">
        <f>+GETPIVOTDATA("Undergrad Student Credit Hour FTE - New",'FTE Pivot for regular counts'!$A$2,"State","LA","Category",14,"Category2","Technical")</f>
        <v>16622.283333333333</v>
      </c>
      <c r="J110" s="74">
        <f>+GETPIVOTDATA("Undergrad Student Credit Hour FTE - New",'FTE Pivot for regular counts'!$A$2,"State","LA","Category2","Technical")</f>
        <v>19459.416666666664</v>
      </c>
      <c r="K110" s="74"/>
      <c r="L110" s="74"/>
      <c r="Q110" s="1" t="s">
        <v>426</v>
      </c>
      <c r="R110" s="15">
        <f>+GETPIVOTDATA("Undergrad Student Credit Hour  FTE - Old",'FTE Pivot for regular counts'!$A$2,"State","LA","Category","7","Category2","Two-Year")</f>
        <v>1937.5333333333333</v>
      </c>
      <c r="S110" s="15">
        <f>+GETPIVOTDATA("Undergrad Student Credit Hour  FTE - Old",'FTE Pivot for regular counts'!$A$2,"State","LA","Category","8","Category2","Two-Year")</f>
        <v>9691.4666666666672</v>
      </c>
      <c r="T110" s="15">
        <f>+GETPIVOTDATA("Undergrad Student Credit Hour  FTE - Old",'FTE Pivot for regular counts'!$A$2,"State","LA","Category","9","Category2","Two-Year")</f>
        <v>10613</v>
      </c>
      <c r="U110" s="15">
        <f>+GETPIVOTDATA("Undergrad Student Credit Hour  FTE - Old",'FTE Pivot for regular counts'!$A$2,"State","LA","Category","10","Category2","Two-Year")</f>
        <v>6680.4</v>
      </c>
      <c r="V110" s="23">
        <f>+GETPIVOTDATA("Undergrad Student Credit Hour  FTE - Old",'FTE Pivot for regular counts'!$A$2,"State","LA","Category2","Two-Year")</f>
        <v>28922.400000000001</v>
      </c>
      <c r="W110" s="18">
        <f>+GETPIVOTDATA("Undergrad Student Credit Hour  FTE - Old",'FTE Pivot for regular counts'!$A$2,"State","LA","Category","12","Category2","Technical")</f>
        <v>1458.4333333333334</v>
      </c>
      <c r="X110" s="15">
        <f>+GETPIVOTDATA("Undergrad Student Credit Hour  FTE - Old",'FTE Pivot for regular counts'!$A$2,"State","LA","Category","13","Category2","Technical")</f>
        <v>921.2166666666667</v>
      </c>
      <c r="Y110" s="1">
        <f>+GETPIVOTDATA("Undergrad Student Credit Hour  FTE - Old",'FTE Pivot for regular counts'!$A$2,"State","LA","Category",14,"Category2","Technical")</f>
        <v>14085.35</v>
      </c>
      <c r="Z110" s="25">
        <f>+GETPIVOTDATA("Undergrad Student Credit Hour  FTE - Old",'FTE Pivot for regular counts'!$A$2,"State","LA","Category2","Technical")</f>
        <v>16465</v>
      </c>
    </row>
    <row r="111" spans="1:26" ht="15" customHeight="1">
      <c r="A111" s="1" t="s">
        <v>427</v>
      </c>
      <c r="B111" s="15">
        <f>+GETPIVOTDATA("Undergrad Student Credit Hour FTE - New",'FTE Pivot for regular counts'!$A$2,"State","MD","Category","7","Category2","Two-Year")</f>
        <v>0</v>
      </c>
      <c r="C111" s="15">
        <f>+GETPIVOTDATA("Undergrad Student Credit Hour FTE - New",'FTE Pivot for regular counts'!$A$2,"State","MD","Category","8","Category2","Two-Year")</f>
        <v>53202.85</v>
      </c>
      <c r="D111" s="15">
        <f>+GETPIVOTDATA("Undergrad Student Credit Hour FTE - New",'FTE Pivot for regular counts'!$A$2,"State","MD","Category","9","Category2","Two-Year")</f>
        <v>27380.566666666666</v>
      </c>
      <c r="E111" s="15">
        <f>+GETPIVOTDATA("Undergrad Student Credit Hour FTE - New",'FTE Pivot for regular counts'!$A$2,"State","MD","Category","10","Category2","Two-Year")</f>
        <v>8742.4016666666666</v>
      </c>
      <c r="F111" s="23">
        <f>+GETPIVOTDATA("Undergrad Student Credit Hour FTE - New",'FTE Pivot for regular counts'!$A$2,"State","MD","Category2","Two-Year")</f>
        <v>89325.818333333329</v>
      </c>
      <c r="G111" s="18">
        <f>+GETPIVOTDATA("Undergrad Student Credit Hour FTE - New",'FTE Pivot for regular counts'!$A$2,"State","MD","Category","12","Category2","Technical")</f>
        <v>0</v>
      </c>
      <c r="H111" s="115">
        <f>+GETPIVOTDATA("Undergrad Student Credit Hour FTE - New",'FTE Pivot for regular counts'!$A$2,"State","MD","Category","13","Category2","Technical")</f>
        <v>0</v>
      </c>
      <c r="I111" s="15">
        <f>+GETPIVOTDATA("Undergrad Student Credit Hour FTE - New",'FTE Pivot for regular counts'!$A$2,"State","MD","Category",14,"Category2","Technical")</f>
        <v>0</v>
      </c>
      <c r="J111" s="74">
        <f>+GETPIVOTDATA("Undergrad Student Credit Hour FTE - New",'FTE Pivot for regular counts'!$A$2,"State","MD","Category2","Technical")</f>
        <v>0</v>
      </c>
      <c r="K111" s="74"/>
      <c r="L111" s="74"/>
      <c r="Q111" s="1" t="s">
        <v>427</v>
      </c>
      <c r="R111" s="15">
        <f>+GETPIVOTDATA("Undergrad Student Credit Hour  FTE - Old",'FTE Pivot for regular counts'!$A$2,"State","MD","Category","7","Category2","Two-Year")</f>
        <v>0</v>
      </c>
      <c r="S111" s="15">
        <f>+GETPIVOTDATA("Undergrad Student Credit Hour  FTE - Old",'FTE Pivot for regular counts'!$A$2,"State","MD","Category","8","Category2","Two-Year")</f>
        <v>47629.51666666667</v>
      </c>
      <c r="T111" s="15">
        <f>+GETPIVOTDATA("Undergrad Student Credit Hour  FTE - Old",'FTE Pivot for regular counts'!$A$2,"State","MD","Category","9","Category2","Two-Year")</f>
        <v>26577.733333333334</v>
      </c>
      <c r="U111" s="15">
        <f>+GETPIVOTDATA("Undergrad Student Credit Hour  FTE - Old",'FTE Pivot for regular counts'!$A$2,"State","MD","Category","10","Category2","Two-Year")</f>
        <v>8075.9833333333336</v>
      </c>
      <c r="V111" s="23">
        <f>+GETPIVOTDATA("Undergrad Student Credit Hour  FTE - Old",'FTE Pivot for regular counts'!$A$2,"State","MD","Category2","Two-Year")</f>
        <v>82283.233333333337</v>
      </c>
      <c r="W111" s="18">
        <f>+GETPIVOTDATA("Undergrad Student Credit Hour  FTE - Old",'FTE Pivot for regular counts'!$A$2,"State","MD","Category","12","Category2","Technical")</f>
        <v>0</v>
      </c>
      <c r="X111" s="15">
        <f>+GETPIVOTDATA("Undergrad Student Credit Hour  FTE - Old",'FTE Pivot for regular counts'!$A$2,"State","MD","Category","13","Category2","Technical")</f>
        <v>0</v>
      </c>
      <c r="Y111" s="15">
        <f>+GETPIVOTDATA("Undergrad Student Credit Hour  FTE - Old",'FTE Pivot for regular counts'!$A$2,"State","MD","Category",14,"Category2","Technical")</f>
        <v>0</v>
      </c>
      <c r="Z111" s="25">
        <f>+GETPIVOTDATA("Undergrad Student Credit Hour  FTE - Old",'FTE Pivot for regular counts'!$A$2,"State","MD","Category2","Technical")</f>
        <v>0</v>
      </c>
    </row>
    <row r="112" spans="1:26" ht="15" customHeight="1">
      <c r="B112" s="15"/>
      <c r="C112" s="15"/>
      <c r="D112" s="15"/>
      <c r="E112" s="15"/>
      <c r="F112" s="23"/>
      <c r="G112" s="18"/>
      <c r="H112" s="115"/>
      <c r="I112" s="15"/>
      <c r="J112" s="74"/>
      <c r="K112" s="74"/>
      <c r="L112" s="74"/>
      <c r="R112" s="15"/>
      <c r="S112" s="15"/>
      <c r="T112" s="15"/>
      <c r="U112" s="15"/>
      <c r="V112" s="23"/>
      <c r="W112" s="18"/>
      <c r="X112" s="15"/>
      <c r="Y112" s="15"/>
      <c r="Z112" s="25"/>
    </row>
    <row r="113" spans="1:26" ht="15" customHeight="1">
      <c r="A113" s="1" t="s">
        <v>428</v>
      </c>
      <c r="B113" s="15">
        <f>+GETPIVOTDATA("Undergrad Student Credit Hour FTE - New",'FTE Pivot for regular counts'!$A$2,"State","MS","Category","7","Category2","Two-Year")</f>
        <v>0</v>
      </c>
      <c r="C113" s="15">
        <f>+GETPIVOTDATA("Undergrad Student Credit Hour FTE - New",'FTE Pivot for regular counts'!$A$2,"State","MS","Category","8","Category2","Two-Year")</f>
        <v>23750.566666666666</v>
      </c>
      <c r="D113" s="15">
        <f>+GETPIVOTDATA("Undergrad Student Credit Hour FTE - New",'FTE Pivot for regular counts'!$A$2,"State","MS","Category","9","Category2","Two-Year")</f>
        <v>37715.266666666663</v>
      </c>
      <c r="E113" s="15">
        <f>+GETPIVOTDATA("Undergrad Student Credit Hour FTE - New",'FTE Pivot for regular counts'!$A$2,"State","MS","Category","10","Category2","Two-Year")</f>
        <v>3602.666666666667</v>
      </c>
      <c r="F113" s="23">
        <f>+GETPIVOTDATA("Undergrad Student Credit Hour FTE - New",'FTE Pivot for regular counts'!$A$2,"State","MS","Category2","Two-Year")</f>
        <v>65068.499999999993</v>
      </c>
      <c r="G113" s="18">
        <f>+GETPIVOTDATA("Undergrad Student Credit Hour FTE - New",'FTE Pivot for regular counts'!$A$2,"State","MS","Category","12","Category2","Technical")</f>
        <v>0</v>
      </c>
      <c r="H113" s="115">
        <f>+GETPIVOTDATA("Undergrad Student Credit Hour FTE - New",'FTE Pivot for regular counts'!$A$2,"State","MS","Category","13","Category2","Technical")</f>
        <v>0</v>
      </c>
      <c r="I113" s="15">
        <f>+GETPIVOTDATA("Undergrad Student Credit Hour FTE - New",'FTE Pivot for regular counts'!$A$2,"State","MS","Category",14,"Category2","Technical")</f>
        <v>0</v>
      </c>
      <c r="J113" s="74">
        <f>+GETPIVOTDATA("Undergrad Student Credit Hour FTE - New",'FTE Pivot for regular counts'!$A$2,"State","MS","Category2","Technical")</f>
        <v>0</v>
      </c>
      <c r="K113" s="74"/>
      <c r="L113" s="74"/>
      <c r="Q113" s="1" t="s">
        <v>428</v>
      </c>
      <c r="R113" s="15">
        <f>+GETPIVOTDATA("Undergrad Student Credit Hour  FTE - Old",'FTE Pivot for regular counts'!$A$2,"State","MS","Category","7","Category2","Two-Year")</f>
        <v>0</v>
      </c>
      <c r="S113" s="15">
        <f>+GETPIVOTDATA("Undergrad Student Credit Hour  FTE - Old",'FTE Pivot for regular counts'!$A$2,"State","MS","Category","8","Category2","Two-Year")</f>
        <v>21342.799999999999</v>
      </c>
      <c r="T113" s="15">
        <f>+GETPIVOTDATA("Undergrad Student Credit Hour  FTE - Old",'FTE Pivot for regular counts'!$A$2,"State","MS","Category","9","Category2","Two-Year")</f>
        <v>34138.933333333334</v>
      </c>
      <c r="U113" s="15">
        <f>+GETPIVOTDATA("Undergrad Student Credit Hour  FTE - Old",'FTE Pivot for regular counts'!$A$2,"State","MS","Category","10","Category2","Two-Year")</f>
        <v>3109.9333333333334</v>
      </c>
      <c r="V113" s="23">
        <f>+GETPIVOTDATA("Undergrad Student Credit Hour  FTE - Old",'FTE Pivot for regular counts'!$A$2,"State","MS","Category2","Two-Year")</f>
        <v>58591.666666666672</v>
      </c>
      <c r="W113" s="18">
        <f>+GETPIVOTDATA("Undergrad Student Credit Hour  FTE - Old",'FTE Pivot for regular counts'!$A$2,"State","MS","Category","12","Category2","Technical")</f>
        <v>0</v>
      </c>
      <c r="X113" s="15">
        <f>+GETPIVOTDATA("Undergrad Student Credit Hour  FTE - Old",'FTE Pivot for regular counts'!$A$2,"State","MS","Category","13","Category2","Technical")</f>
        <v>0</v>
      </c>
      <c r="Y113" s="15">
        <f>+GETPIVOTDATA("Undergrad Student Credit Hour  FTE - Old",'FTE Pivot for regular counts'!$A$2,"State","MS","Category",14,"Category2","Technical")</f>
        <v>0</v>
      </c>
      <c r="Z113" s="25">
        <f>+GETPIVOTDATA("Undergrad Student Credit Hour  FTE - Old",'FTE Pivot for regular counts'!$A$2,"State","MS","Category2","Technical")</f>
        <v>0</v>
      </c>
    </row>
    <row r="114" spans="1:26" ht="15" customHeight="1">
      <c r="A114" s="1" t="s">
        <v>429</v>
      </c>
      <c r="B114" s="15">
        <f>+GETPIVOTDATA("Undergrad Student Credit Hour FTE - New",'FTE Pivot for regular counts'!$A$2,"State","NC","Category","7","Category2","Two-Year")</f>
        <v>0</v>
      </c>
      <c r="C114" s="15">
        <f>+GETPIVOTDATA("Undergrad Student Credit Hour FTE - New",'FTE Pivot for regular counts'!$A$2,"State","NC","Category","8","Category2","Two-Year")</f>
        <v>117690</v>
      </c>
      <c r="D114" s="15">
        <f>+GETPIVOTDATA("Undergrad Student Credit Hour FTE - New",'FTE Pivot for regular counts'!$A$2,"State","NC","Category","9","Category2","Two-Year")</f>
        <v>121311</v>
      </c>
      <c r="E114" s="15">
        <f>+GETPIVOTDATA("Undergrad Student Credit Hour FTE - New",'FTE Pivot for regular counts'!$A$2,"State","NC","Category","10","Category2","Two-Year")</f>
        <v>20866</v>
      </c>
      <c r="F114" s="23">
        <f>+GETPIVOTDATA("Undergrad Student Credit Hour FTE - New",'FTE Pivot for regular counts'!$A$2,"State","NC","Category2","Two-Year")</f>
        <v>259867</v>
      </c>
      <c r="G114" s="18">
        <f>+GETPIVOTDATA("Undergrad Student Credit Hour FTE - New",'FTE Pivot for regular counts'!$A$2,"State","NC","Category","12","Category2","Technical")</f>
        <v>0</v>
      </c>
      <c r="H114" s="115">
        <f>+GETPIVOTDATA("Undergrad Student Credit Hour FTE - New",'FTE Pivot for regular counts'!$A$2,"State","NC","Category","13","Category2","Technical")</f>
        <v>0</v>
      </c>
      <c r="I114" s="15">
        <f>+GETPIVOTDATA("Undergrad Student Credit Hour FTE - New",'FTE Pivot for regular counts'!$A$2,"State","NC","Category",14,"Category2","Technical")</f>
        <v>0</v>
      </c>
      <c r="J114" s="74">
        <f>+GETPIVOTDATA("Undergrad Student Credit Hour FTE - New",'FTE Pivot for regular counts'!$A$2,"State","NC","Category2","Technical")</f>
        <v>0</v>
      </c>
      <c r="K114" s="74"/>
      <c r="L114" s="74"/>
      <c r="Q114" s="1" t="s">
        <v>429</v>
      </c>
      <c r="R114" s="15">
        <f>+GETPIVOTDATA("Undergrad Student Credit Hour  FTE - Old",'FTE Pivot for regular counts'!$A$2,"State","NC","Category","7","Category2","Two-Year")</f>
        <v>0</v>
      </c>
      <c r="S114" s="15">
        <f>+GETPIVOTDATA("Undergrad Student Credit Hour  FTE - Old",'FTE Pivot for regular counts'!$A$2,"State","NC","Category","8","Category2","Two-Year")</f>
        <v>105422</v>
      </c>
      <c r="T114" s="15">
        <f>+GETPIVOTDATA("Undergrad Student Credit Hour  FTE - Old",'FTE Pivot for regular counts'!$A$2,"State","NC","Category","9","Category2","Two-Year")</f>
        <v>107798</v>
      </c>
      <c r="U114" s="15">
        <f>+GETPIVOTDATA("Undergrad Student Credit Hour  FTE - Old",'FTE Pivot for regular counts'!$A$2,"State","NC","Category","10","Category2","Two-Year")</f>
        <v>18517</v>
      </c>
      <c r="V114" s="23">
        <f>+GETPIVOTDATA("Undergrad Student Credit Hour  FTE - Old",'FTE Pivot for regular counts'!$A$2,"State","NC","Category2","Two-Year")</f>
        <v>231737</v>
      </c>
      <c r="W114" s="18">
        <f>+GETPIVOTDATA("Undergrad Student Credit Hour  FTE - Old",'FTE Pivot for regular counts'!$A$2,"State","NC","Category","12","Category2","Technical")</f>
        <v>0</v>
      </c>
      <c r="X114" s="15">
        <f>+GETPIVOTDATA("Undergrad Student Credit Hour  FTE - Old",'FTE Pivot for regular counts'!$A$2,"State","NC","Category","13","Category2","Technical")</f>
        <v>0</v>
      </c>
      <c r="Y114" s="15">
        <f>+GETPIVOTDATA("Undergrad Student Credit Hour  FTE - Old",'FTE Pivot for regular counts'!$A$2,"State","NC","Category",14,"Category2","Technical")</f>
        <v>0</v>
      </c>
      <c r="Z114" s="25">
        <f>+GETPIVOTDATA("Undergrad Student Credit Hour  FTE - Old",'FTE Pivot for regular counts'!$A$2,"State","NC","Category2","Technical")</f>
        <v>0</v>
      </c>
    </row>
    <row r="115" spans="1:26" ht="15" customHeight="1">
      <c r="A115" s="1" t="s">
        <v>430</v>
      </c>
      <c r="B115" s="15">
        <f>+GETPIVOTDATA("Undergrad Student Credit Hour FTE - New",'FTE Pivot for regular counts'!$A$2,"State","OK","Category","7","Category2","Two-Year")</f>
        <v>3285.2</v>
      </c>
      <c r="C115" s="15">
        <f>+GETPIVOTDATA("Undergrad Student Credit Hour FTE - New",'FTE Pivot for regular counts'!$A$2,"State","OK","Category","8","Category2","Two-Year")</f>
        <v>21310.9</v>
      </c>
      <c r="D115" s="15">
        <f>+GETPIVOTDATA("Undergrad Student Credit Hour FTE - New",'FTE Pivot for regular counts'!$A$2,"State","OK","Category","9","Category2","Two-Year")</f>
        <v>12911.733333333334</v>
      </c>
      <c r="E115" s="15">
        <f>+GETPIVOTDATA("Undergrad Student Credit Hour FTE - New",'FTE Pivot for regular counts'!$A$2,"State","OK","Category","10","Category2","Two-Year")</f>
        <v>13226.1</v>
      </c>
      <c r="F115" s="23">
        <f>+GETPIVOTDATA("Undergrad Student Credit Hour FTE - New",'FTE Pivot for regular counts'!$A$2,"State","OK","Category2","Two-Year")</f>
        <v>50733.933333333334</v>
      </c>
      <c r="G115" s="18">
        <f>+GETPIVOTDATA("Undergrad Student Credit Hour FTE - New",'FTE Pivot for regular counts'!$A$2,"State","OK","Category","12","Category2","Technical")</f>
        <v>0</v>
      </c>
      <c r="H115" s="115">
        <f>+GETPIVOTDATA("Undergrad Student Credit Hour FTE - New",'FTE Pivot for regular counts'!$A$2,"State","OK","Category","13","Category2","Technical")</f>
        <v>0</v>
      </c>
      <c r="I115" s="15">
        <f>+GETPIVOTDATA("Undergrad Student Credit Hour FTE - New",'FTE Pivot for regular counts'!$A$2,"State","OK","Category",14,"Category2","Technical")</f>
        <v>0</v>
      </c>
      <c r="J115" s="74">
        <f>+GETPIVOTDATA("Undergrad Student Credit Hour FTE - New",'FTE Pivot for regular counts'!$A$2,"State","OK","Category2","Technical")</f>
        <v>0</v>
      </c>
      <c r="K115" s="74"/>
      <c r="L115" s="74"/>
      <c r="Q115" s="1" t="s">
        <v>430</v>
      </c>
      <c r="R115" s="15">
        <f>+GETPIVOTDATA("Undergrad Student Credit Hour  FTE - Old",'FTE Pivot for regular counts'!$A$2,"State","OK","Category","7","Category2","Two-Year")</f>
        <v>2935.6</v>
      </c>
      <c r="S115" s="15">
        <f>+GETPIVOTDATA("Undergrad Student Credit Hour  FTE - Old",'FTE Pivot for regular counts'!$A$2,"State","OK","Category","8","Category2","Two-Year")</f>
        <v>19308.033333333333</v>
      </c>
      <c r="T115" s="15">
        <f>+GETPIVOTDATA("Undergrad Student Credit Hour  FTE - Old",'FTE Pivot for regular counts'!$A$2,"State","OK","Category","9","Category2","Two-Year")</f>
        <v>11911.066666666666</v>
      </c>
      <c r="U115" s="15">
        <f>+GETPIVOTDATA("Undergrad Student Credit Hour  FTE - Old",'FTE Pivot for regular counts'!$A$2,"State","OK","Category","10","Category2","Two-Year")</f>
        <v>12074.1</v>
      </c>
      <c r="V115" s="23">
        <f>+GETPIVOTDATA("Undergrad Student Credit Hour  FTE - Old",'FTE Pivot for regular counts'!$A$2,"State","OK","Category2","Two-Year")</f>
        <v>46228.799999999996</v>
      </c>
      <c r="W115" s="18">
        <f>+GETPIVOTDATA("Undergrad Student Credit Hour  FTE - Old",'FTE Pivot for regular counts'!$A$2,"State","OK","Category","12","Category2","Technical")</f>
        <v>0</v>
      </c>
      <c r="X115" s="15">
        <f>+GETPIVOTDATA("Undergrad Student Credit Hour  FTE - Old",'FTE Pivot for regular counts'!$A$2,"State","OK","Category","13","Category2","Technical")</f>
        <v>0</v>
      </c>
      <c r="Y115" s="15">
        <f>+GETPIVOTDATA("Undergrad Student Credit Hour  FTE - Old",'FTE Pivot for regular counts'!$A$2,"State","OK","Category",14,"Category2","Technical")</f>
        <v>0</v>
      </c>
      <c r="Z115" s="25">
        <f>+GETPIVOTDATA("Undergrad Student Credit Hour  FTE - Old",'FTE Pivot for regular counts'!$A$2,"State","OK","Category2","Technical")</f>
        <v>0</v>
      </c>
    </row>
    <row r="116" spans="1:26" ht="15" customHeight="1">
      <c r="A116" s="1" t="s">
        <v>431</v>
      </c>
      <c r="B116" s="15">
        <f>+GETPIVOTDATA("Undergrad Student Credit Hour FTE - New",'FTE Pivot for regular counts'!$A$2,"State","SC","Category","7","Category2","Two-Year")</f>
        <v>0</v>
      </c>
      <c r="C116" s="15">
        <f>+GETPIVOTDATA("Undergrad Student Credit Hour FTE - New",'FTE Pivot for regular counts'!$A$2,"State","SC","Category","8","Category2","Two-Year")</f>
        <v>32399.699999999997</v>
      </c>
      <c r="D116" s="15">
        <f>+GETPIVOTDATA("Undergrad Student Credit Hour FTE - New",'FTE Pivot for regular counts'!$A$2,"State","SC","Category","9","Category2","Two-Year")</f>
        <v>36350.366666666669</v>
      </c>
      <c r="E116" s="15">
        <f>+GETPIVOTDATA("Undergrad Student Credit Hour FTE - New",'FTE Pivot for regular counts'!$A$2,"State","SC","Category","10","Category2","Two-Year")</f>
        <v>7466.7</v>
      </c>
      <c r="F116" s="23">
        <f>+GETPIVOTDATA("Undergrad Student Credit Hour FTE - New",'FTE Pivot for regular counts'!$A$2,"State","SC","Category2","Two-Year")</f>
        <v>76216.766666666663</v>
      </c>
      <c r="G116" s="18">
        <f>+GETPIVOTDATA("Undergrad Student Credit Hour FTE - New",'FTE Pivot for regular counts'!$A$2,"State","SC","Category","12","Category2","Technical")</f>
        <v>0</v>
      </c>
      <c r="H116" s="115">
        <f>+GETPIVOTDATA("Undergrad Student Credit Hour FTE - New",'FTE Pivot for regular counts'!$A$2,"State","SC","Category","13","Category2","Technical")</f>
        <v>0</v>
      </c>
      <c r="I116" s="15">
        <f>+GETPIVOTDATA("Undergrad Student Credit Hour FTE - New",'FTE Pivot for regular counts'!$A$2,"State","SC","Category",14,"Category2","Technical")</f>
        <v>0</v>
      </c>
      <c r="J116" s="74">
        <f>+GETPIVOTDATA("Undergrad Student Credit Hour FTE - New",'FTE Pivot for regular counts'!$A$2,"State","SC","Category2","Technical")</f>
        <v>0</v>
      </c>
      <c r="K116" s="74"/>
      <c r="L116" s="74"/>
      <c r="Q116" s="1" t="s">
        <v>431</v>
      </c>
      <c r="R116" s="15">
        <f>+GETPIVOTDATA("Undergrad Student Credit Hour  FTE - Old",'FTE Pivot for regular counts'!$A$2,"State","SC","Category","7","Category2","Two-Year")</f>
        <v>0</v>
      </c>
      <c r="S116" s="15">
        <f>+GETPIVOTDATA("Undergrad Student Credit Hour  FTE - Old",'FTE Pivot for regular counts'!$A$2,"State","SC","Category","8","Category2","Two-Year")</f>
        <v>29262.682666666668</v>
      </c>
      <c r="T116" s="15">
        <f>+GETPIVOTDATA("Undergrad Student Credit Hour  FTE - Old",'FTE Pivot for regular counts'!$A$2,"State","SC","Category","9","Category2","Two-Year")</f>
        <v>31398.061666666668</v>
      </c>
      <c r="U116" s="15">
        <f>+GETPIVOTDATA("Undergrad Student Credit Hour  FTE - Old",'FTE Pivot for regular counts'!$A$2,"State","SC","Category","10","Category2","Two-Year")</f>
        <v>6907.3996666666662</v>
      </c>
      <c r="V116" s="23">
        <f>+GETPIVOTDATA("Undergrad Student Credit Hour  FTE - Old",'FTE Pivot for regular counts'!$A$2,"State","SC","Category2","Two-Year")</f>
        <v>67568.144</v>
      </c>
      <c r="W116" s="18">
        <f>+GETPIVOTDATA("Undergrad Student Credit Hour  FTE - Old",'FTE Pivot for regular counts'!$A$2,"State","SC","Category","12","Category2","Technical")</f>
        <v>0</v>
      </c>
      <c r="X116" s="15">
        <f>+GETPIVOTDATA("Undergrad Student Credit Hour  FTE - Old",'FTE Pivot for regular counts'!$A$2,"State","SC","Category","13","Category2","Technical")</f>
        <v>0</v>
      </c>
      <c r="Y116" s="15">
        <f>+GETPIVOTDATA("Undergrad Student Credit Hour  FTE - Old",'FTE Pivot for regular counts'!$A$2,"State","SC","Category",14,"Category2","Technical")</f>
        <v>0</v>
      </c>
      <c r="Z116" s="25">
        <f>+GETPIVOTDATA("Undergrad Student Credit Hour  FTE - Old",'FTE Pivot for regular counts'!$A$2,"State","SC","Category2","Technical")</f>
        <v>0</v>
      </c>
    </row>
    <row r="117" spans="1:26" ht="15" customHeight="1">
      <c r="B117" s="15"/>
      <c r="C117" s="15"/>
      <c r="D117" s="15"/>
      <c r="E117" s="15"/>
      <c r="F117" s="23"/>
      <c r="G117" s="18"/>
      <c r="H117" s="115"/>
      <c r="I117" s="15"/>
      <c r="J117" s="74"/>
      <c r="K117" s="74"/>
      <c r="L117" s="74"/>
      <c r="R117" s="15"/>
      <c r="S117" s="15"/>
      <c r="T117" s="15"/>
      <c r="U117" s="15"/>
      <c r="V117" s="23"/>
      <c r="W117" s="18"/>
      <c r="X117" s="15"/>
      <c r="Y117" s="15"/>
      <c r="Z117" s="25"/>
    </row>
    <row r="118" spans="1:26" ht="15" customHeight="1">
      <c r="A118" s="1" t="s">
        <v>432</v>
      </c>
      <c r="B118" s="15">
        <f>+GETPIVOTDATA("Undergrad Student Credit Hour FTE - New",'FTE Pivot for regular counts'!$A$2,"State","TN","Category","7","Category2","Two-Year")</f>
        <v>0</v>
      </c>
      <c r="C118" s="15">
        <f>+GETPIVOTDATA("Undergrad Student Credit Hour FTE - New",'FTE Pivot for regular counts'!$A$2,"State","TN","Category","8","Category2","Two-Year")</f>
        <v>21776.166666666668</v>
      </c>
      <c r="D118" s="15">
        <f>+GETPIVOTDATA("Undergrad Student Credit Hour FTE - New",'FTE Pivot for regular counts'!$A$2,"State","TN","Category","9","Category2","Two-Year")</f>
        <v>36785.23333333333</v>
      </c>
      <c r="E118" s="15">
        <f>+GETPIVOTDATA("Undergrad Student Credit Hour FTE - New",'FTE Pivot for regular counts'!$A$2,"State","TN","Category","10","Category2","Two-Year")</f>
        <v>2059.5</v>
      </c>
      <c r="F118" s="23">
        <f>+GETPIVOTDATA("Undergrad Student Credit Hour FTE - New",'FTE Pivot for regular counts'!$A$2,"State","TN","Category2","Two-Year")</f>
        <v>60620.899999999994</v>
      </c>
      <c r="G118" s="18">
        <f>+GETPIVOTDATA("Undergrad Student Credit Hour FTE - New",'FTE Pivot for regular counts'!$A$2,"State","TN","Category","12","Category2","Technical")</f>
        <v>0</v>
      </c>
      <c r="H118" s="115">
        <f>+GETPIVOTDATA("Undergrad Student Credit Hour FTE - New",'FTE Pivot for regular counts'!$A$2,"State","TN","Category","13","Category2","Technical")</f>
        <v>0</v>
      </c>
      <c r="I118" s="15">
        <f>+GETPIVOTDATA("Undergrad Student Credit Hour FTE - New",'FTE Pivot for regular counts'!$A$2,"State","TN","Category",14,"Category2","Technical")</f>
        <v>0</v>
      </c>
      <c r="J118" s="74">
        <f>+GETPIVOTDATA("Undergrad Student Credit Hour FTE - New",'FTE Pivot for regular counts'!$A$2,"State","TN","Category2","Technical")</f>
        <v>0</v>
      </c>
      <c r="K118" s="74"/>
      <c r="L118" s="74"/>
      <c r="Q118" s="1" t="s">
        <v>432</v>
      </c>
      <c r="R118" s="15">
        <f>+GETPIVOTDATA("Undergrad Student Credit Hour  FTE - Old",'FTE Pivot for regular counts'!$A$2,"State","TN","Category","7","Category2","Two-Year")</f>
        <v>0</v>
      </c>
      <c r="S118" s="15">
        <f>+GETPIVOTDATA("Undergrad Student Credit Hour  FTE - Old",'FTE Pivot for regular counts'!$A$2,"State","TN","Category","8","Category2","Two-Year")</f>
        <v>19253.966666666667</v>
      </c>
      <c r="T118" s="15">
        <f>+GETPIVOTDATA("Undergrad Student Credit Hour  FTE - Old",'FTE Pivot for regular counts'!$A$2,"State","TN","Category","9","Category2","Two-Year")</f>
        <v>32559.833333333332</v>
      </c>
      <c r="U118" s="15">
        <f>+GETPIVOTDATA("Undergrad Student Credit Hour  FTE - Old",'FTE Pivot for regular counts'!$A$2,"State","TN","Category","10","Category2","Two-Year")</f>
        <v>1718.0666666666666</v>
      </c>
      <c r="V118" s="23">
        <f>+GETPIVOTDATA("Undergrad Student Credit Hour  FTE - Old",'FTE Pivot for regular counts'!$A$2,"State","TN","Category2","Two-Year")</f>
        <v>53531.866666666669</v>
      </c>
      <c r="W118" s="18">
        <f>+GETPIVOTDATA("Undergrad Student Credit Hour  FTE - Old",'FTE Pivot for regular counts'!$A$2,"State","TN","Category","12","Category2","Technical")</f>
        <v>0</v>
      </c>
      <c r="X118" s="15">
        <f>+GETPIVOTDATA("Undergrad Student Credit Hour  FTE - Old",'FTE Pivot for regular counts'!$A$2,"State","TN","Category","13","Category2","Technical")</f>
        <v>0</v>
      </c>
      <c r="Y118" s="15">
        <f>+GETPIVOTDATA("Undergrad Student Credit Hour  FTE - Old",'FTE Pivot for regular counts'!$A$2,"State","TN","Category",14,"Category2","Technical")</f>
        <v>0</v>
      </c>
      <c r="Z118" s="25">
        <f>+GETPIVOTDATA("Undergrad Student Credit Hour  FTE - Old",'FTE Pivot for regular counts'!$A$2,"State","TN","Category2","Technical")</f>
        <v>0</v>
      </c>
    </row>
    <row r="119" spans="1:26" ht="15" customHeight="1">
      <c r="A119" s="1" t="s">
        <v>433</v>
      </c>
      <c r="B119" s="15">
        <f>+GETPIVOTDATA("Undergrad Student Credit Hour FTE - New",'FTE Pivot for regular counts'!$A$2,"State","TX","Category","7","Category2","Two-Year")</f>
        <v>21533</v>
      </c>
      <c r="C119" s="15">
        <f>+GETPIVOTDATA("Undergrad Student Credit Hour FTE - New",'FTE Pivot for regular counts'!$A$2,"State","TX","Category","8","Category2","Two-Year")</f>
        <v>307193.93333333335</v>
      </c>
      <c r="D119" s="15">
        <f>+GETPIVOTDATA("Undergrad Student Credit Hour FTE - New",'FTE Pivot for regular counts'!$A$2,"State","TX","Category","9","Category2","Two-Year")</f>
        <v>96034.533333333355</v>
      </c>
      <c r="E119" s="15">
        <f>+GETPIVOTDATA("Undergrad Student Credit Hour FTE - New",'FTE Pivot for regular counts'!$A$2,"State","TX","Category","10","Category2","Two-Year")</f>
        <v>14222.999999999998</v>
      </c>
      <c r="F119" s="23">
        <f>+GETPIVOTDATA("Undergrad Student Credit Hour FTE - New",'FTE Pivot for regular counts'!$A$2,"State","TX","Category2","Two-Year")</f>
        <v>438984.46666666667</v>
      </c>
      <c r="G119" s="18">
        <f>+GETPIVOTDATA("Undergrad Student Credit Hour FTE - New",'FTE Pivot for regular counts'!$A$2,"State","TX","Category","12","Category2","Technical")</f>
        <v>0</v>
      </c>
      <c r="H119" s="115">
        <f>+GETPIVOTDATA("Undergrad Student Credit Hour FTE - New",'FTE Pivot for regular counts'!$A$2,"State","TX","Category","13","Category2","Technical")</f>
        <v>0</v>
      </c>
      <c r="I119" s="15">
        <f>+GETPIVOTDATA("Undergrad Student Credit Hour FTE - New",'FTE Pivot for regular counts'!$A$2,"State","TX","Category",14,"Category2","Technical")</f>
        <v>0</v>
      </c>
      <c r="J119" s="74">
        <f>+GETPIVOTDATA("Undergrad Student Credit Hour FTE - New",'FTE Pivot for regular counts'!$A$2,"State","TX","Category2","Technical")</f>
        <v>0</v>
      </c>
      <c r="K119" s="74"/>
      <c r="L119" s="74"/>
      <c r="Q119" s="1" t="s">
        <v>433</v>
      </c>
      <c r="R119" s="15">
        <f>+GETPIVOTDATA("Undergrad Student Credit Hour  FTE - Old",'FTE Pivot for regular counts'!$A$2,"State","TX","Category","7","Category2","Two-Year")</f>
        <v>18973.400000000001</v>
      </c>
      <c r="S119" s="15">
        <f>+GETPIVOTDATA("Undergrad Student Credit Hour  FTE - Old",'FTE Pivot for regular counts'!$A$2,"State","TX","Category","8","Category2","Two-Year")</f>
        <v>279925.26666666672</v>
      </c>
      <c r="T119" s="15">
        <f>+GETPIVOTDATA("Undergrad Student Credit Hour  FTE - Old",'FTE Pivot for regular counts'!$A$2,"State","TX","Category","9","Category2","Two-Year")</f>
        <v>86420.933333333334</v>
      </c>
      <c r="U119" s="15">
        <f>+GETPIVOTDATA("Undergrad Student Credit Hour  FTE - Old",'FTE Pivot for regular counts'!$A$2,"State","TX","Category","10","Category2","Two-Year")</f>
        <v>13505.766666666665</v>
      </c>
      <c r="V119" s="23">
        <f>+GETPIVOTDATA("Undergrad Student Credit Hour  FTE - Old",'FTE Pivot for regular counts'!$A$2,"State","TX","Category2","Two-Year")</f>
        <v>398825.36666666676</v>
      </c>
      <c r="W119" s="18">
        <f>+GETPIVOTDATA("Undergrad Student Credit Hour  FTE - Old",'FTE Pivot for regular counts'!$A$2,"State","TX","Category","12","Category2","Technical")</f>
        <v>0</v>
      </c>
      <c r="X119" s="15">
        <f>+GETPIVOTDATA("Undergrad Student Credit Hour  FTE - Old",'FTE Pivot for regular counts'!$A$2,"State","TX","Category","13","Category2","Technical")</f>
        <v>0</v>
      </c>
      <c r="Y119" s="15">
        <f>+GETPIVOTDATA("Undergrad Student Credit Hour  FTE - Old",'FTE Pivot for regular counts'!$A$2,"State","TX","Category",14,"Category2","Technical")</f>
        <v>0</v>
      </c>
      <c r="Z119" s="25">
        <f>+GETPIVOTDATA("Undergrad Student Credit Hour  FTE - Old",'FTE Pivot for regular counts'!$A$2,"State","TX","Category2","Technical")</f>
        <v>0</v>
      </c>
    </row>
    <row r="120" spans="1:26" ht="15" customHeight="1">
      <c r="A120" s="1" t="s">
        <v>434</v>
      </c>
      <c r="B120" s="15">
        <f>+GETPIVOTDATA("Undergrad Student Credit Hour FTE - New",'FTE Pivot for regular counts'!$A$2,"State","VA","Category","7","Category2","Two-Year")</f>
        <v>0</v>
      </c>
      <c r="C120" s="15">
        <f>+GETPIVOTDATA("Undergrad Student Credit Hour FTE - New",'FTE Pivot for regular counts'!$A$2,"State","VA","Category","8","Category2","Two-Year")</f>
        <v>64904.333333333328</v>
      </c>
      <c r="D120" s="15">
        <f>+GETPIVOTDATA("Undergrad Student Credit Hour FTE - New",'FTE Pivot for regular counts'!$A$2,"State","VA","Category","9","Category2","Two-Year")</f>
        <v>36315.5</v>
      </c>
      <c r="E120" s="15">
        <f>+GETPIVOTDATA("Undergrad Student Credit Hour FTE - New",'FTE Pivot for regular counts'!$A$2,"State","VA","Category","10","Category2","Two-Year")</f>
        <v>16512.366666666669</v>
      </c>
      <c r="F120" s="23">
        <f>+GETPIVOTDATA("Undergrad Student Credit Hour FTE - New",'FTE Pivot for regular counts'!$A$2,"State","VA","Category2","Two-Year")</f>
        <v>117732.2</v>
      </c>
      <c r="G120" s="18">
        <f>+GETPIVOTDATA("Undergrad Student Credit Hour FTE - New",'FTE Pivot for regular counts'!$A$2,"State","VA","Category","12","Category2","Technical")</f>
        <v>0</v>
      </c>
      <c r="H120" s="115">
        <f>+GETPIVOTDATA("Undergrad Student Credit Hour FTE - New",'FTE Pivot for regular counts'!$A$2,"State","VA","Category","13","Category2","Technical")</f>
        <v>0</v>
      </c>
      <c r="I120" s="15">
        <f>+GETPIVOTDATA("Undergrad Student Credit Hour FTE - New",'FTE Pivot for regular counts'!$A$2,"State","VA","Category",14,"Category2","Technical")</f>
        <v>0</v>
      </c>
      <c r="J120" s="74">
        <f>+GETPIVOTDATA("Undergrad Student Credit Hour FTE - New",'FTE Pivot for regular counts'!$A$2,"State","VA","Category2","Technical")</f>
        <v>0</v>
      </c>
      <c r="K120" s="74"/>
      <c r="L120" s="74"/>
      <c r="Q120" s="1" t="s">
        <v>434</v>
      </c>
      <c r="R120" s="15">
        <f>+GETPIVOTDATA("Undergrad Student Credit Hour  FTE - Old",'FTE Pivot for regular counts'!$A$2,"State","VA","Category","7","Category2","Two-Year")</f>
        <v>0</v>
      </c>
      <c r="S120" s="15">
        <f>+GETPIVOTDATA("Undergrad Student Credit Hour  FTE - Old",'FTE Pivot for regular counts'!$A$2,"State","VA","Category","8","Category2","Two-Year")</f>
        <v>58434.233333333337</v>
      </c>
      <c r="T120" s="15">
        <f>+GETPIVOTDATA("Undergrad Student Credit Hour  FTE - Old",'FTE Pivot for regular counts'!$A$2,"State","VA","Category","9","Category2","Two-Year")</f>
        <v>34618.466666666667</v>
      </c>
      <c r="U120" s="15">
        <f>+GETPIVOTDATA("Undergrad Student Credit Hour  FTE - Old",'FTE Pivot for regular counts'!$A$2,"State","VA","Category","10","Category2","Two-Year")</f>
        <v>12267.699999999999</v>
      </c>
      <c r="V120" s="23">
        <f>+GETPIVOTDATA("Undergrad Student Credit Hour  FTE - Old",'FTE Pivot for regular counts'!$A$2,"State","VA","Category2","Two-Year")</f>
        <v>105320.40000000001</v>
      </c>
      <c r="W120" s="18">
        <f>+GETPIVOTDATA("Undergrad Student Credit Hour  FTE - Old",'FTE Pivot for regular counts'!$A$2,"State","VA","Category","12","Category2","Technical")</f>
        <v>0</v>
      </c>
      <c r="X120" s="15">
        <f>+GETPIVOTDATA("Undergrad Student Credit Hour  FTE - Old",'FTE Pivot for regular counts'!$A$2,"State","VA","Category","13","Category2","Technical")</f>
        <v>0</v>
      </c>
      <c r="Y120" s="15">
        <f>+GETPIVOTDATA("Undergrad Student Credit Hour  FTE - Old",'FTE Pivot for regular counts'!$A$2,"State","VA","Category",14,"Category2","Technical")</f>
        <v>0</v>
      </c>
      <c r="Z120" s="25">
        <f>+GETPIVOTDATA("Undergrad Student Credit Hour  FTE - Old",'FTE Pivot for regular counts'!$A$2,"State","VA","Category2","Technical")</f>
        <v>0</v>
      </c>
    </row>
    <row r="121" spans="1:26" ht="15" customHeight="1">
      <c r="A121" s="3" t="s">
        <v>435</v>
      </c>
      <c r="B121" s="6">
        <f>+GETPIVOTDATA("Undergrad Student Credit Hour FTE - New",'FTE Pivot for regular counts'!$A$2,"State","WV","Category","7","Category2","Two-Year")</f>
        <v>4469.8333333333339</v>
      </c>
      <c r="C121" s="6">
        <f>+GETPIVOTDATA("Undergrad Student Credit Hour FTE - New",'FTE Pivot for regular counts'!$A$2,"State","WV","Category","8","Category2","Two-Year")</f>
        <v>0</v>
      </c>
      <c r="D121" s="6">
        <f>+GETPIVOTDATA("Undergrad Student Credit Hour FTE - New",'FTE Pivot for regular counts'!$A$2,"State","WV","Category","9","Category2","Two-Year")</f>
        <v>0</v>
      </c>
      <c r="E121" s="6">
        <f>+GETPIVOTDATA("Undergrad Student Credit Hour FTE - New",'FTE Pivot for regular counts'!$A$2,"State","WV","Category","10","Category2","Two-Year")</f>
        <v>13079.67</v>
      </c>
      <c r="F121" s="24">
        <f>+GETPIVOTDATA("Undergrad Student Credit Hour FTE - New",'FTE Pivot for regular counts'!$A$2,"State","WV","Category2","Two-Year")</f>
        <v>17549.503333333334</v>
      </c>
      <c r="G121" s="19">
        <f>+GETPIVOTDATA("Undergrad Student Credit Hour FTE - New",'FTE Pivot for regular counts'!$A$2,"State","WV","Category","12","Category2","Technical")</f>
        <v>0</v>
      </c>
      <c r="H121" s="128">
        <f>+GETPIVOTDATA("Undergrad Student Credit Hour FTE - New",'FTE Pivot for regular counts'!$A$2,"State","WV","Category","13","Category2","Technical")</f>
        <v>0</v>
      </c>
      <c r="I121" s="6">
        <f>+GETPIVOTDATA("Undergrad Student Credit Hour FTE - New",'FTE Pivot for regular counts'!$A$2,"State","WV","Category",14,"Category2","Technical")</f>
        <v>0</v>
      </c>
      <c r="J121" s="86">
        <f>+GETPIVOTDATA("Undergrad Student Credit Hour FTE - New",'FTE Pivot for regular counts'!$A$2,"State","WV","Category2","Technical")</f>
        <v>0</v>
      </c>
      <c r="K121" s="74"/>
      <c r="L121" s="74"/>
      <c r="Q121" s="3" t="s">
        <v>435</v>
      </c>
      <c r="R121" s="6">
        <f>+GETPIVOTDATA("Undergrad Student Credit Hour  FTE - Old",'FTE Pivot for regular counts'!$A$2,"State","WV","Category","7","Category2","Two-Year")</f>
        <v>4014.6333333333332</v>
      </c>
      <c r="S121" s="6">
        <f>+GETPIVOTDATA("Undergrad Student Credit Hour  FTE - Old",'FTE Pivot for regular counts'!$A$2,"State","WV","Category","8","Category2","Two-Year")</f>
        <v>0</v>
      </c>
      <c r="T121" s="6">
        <f>+GETPIVOTDATA("Undergrad Student Credit Hour  FTE - Old",'FTE Pivot for regular counts'!$A$2,"State","WV","Category","9","Category2","Two-Year")</f>
        <v>0</v>
      </c>
      <c r="U121" s="6">
        <f>+GETPIVOTDATA("Undergrad Student Credit Hour  FTE - Old",'FTE Pivot for regular counts'!$A$2,"State","WV","Category","10","Category2","Two-Year")</f>
        <v>11857.45</v>
      </c>
      <c r="V121" s="24">
        <f>+GETPIVOTDATA("Undergrad Student Credit Hour  FTE - Old",'FTE Pivot for regular counts'!$A$2,"State","WV","Category2","Two-Year")</f>
        <v>15872.083333333334</v>
      </c>
      <c r="W121" s="19">
        <f>+GETPIVOTDATA("Undergrad Student Credit Hour  FTE - Old",'FTE Pivot for regular counts'!$A$2,"State","WV","Category","12","Category2","Technical")</f>
        <v>0</v>
      </c>
      <c r="X121" s="6">
        <f>+GETPIVOTDATA("Undergrad Student Credit Hour  FTE - Old",'FTE Pivot for regular counts'!$A$2,"State","WV","Category","13","Category2","Technical")</f>
        <v>0</v>
      </c>
      <c r="Y121" s="6">
        <f>+GETPIVOTDATA("Undergrad Student Credit Hour  FTE - Old",'FTE Pivot for regular counts'!$A$2,"State","WV","Category",14,"Category2","Technical")</f>
        <v>0</v>
      </c>
      <c r="Z121" s="3">
        <f>+GETPIVOTDATA("Undergrad Student Credit Hour  FTE - Old",'FTE Pivot for regular counts'!$A$2,"State","WV","Category2","Technical")</f>
        <v>0</v>
      </c>
    </row>
    <row r="122" spans="1:26" s="25" customFormat="1" ht="9.9499999999999993" customHeight="1">
      <c r="A122" s="77"/>
      <c r="B122" s="16"/>
      <c r="C122" s="16"/>
      <c r="D122" s="16"/>
      <c r="E122" s="16"/>
      <c r="F122" s="16"/>
      <c r="G122" s="16"/>
      <c r="H122" s="121"/>
      <c r="I122" s="16"/>
      <c r="J122" s="121"/>
      <c r="K122" s="115"/>
      <c r="L122" s="115"/>
      <c r="M122" s="115"/>
    </row>
    <row r="123" spans="1:26" ht="42.75" customHeight="1">
      <c r="A123" s="793" t="s">
        <v>79</v>
      </c>
      <c r="B123" s="793"/>
      <c r="C123" s="793"/>
      <c r="D123" s="793"/>
      <c r="E123" s="793"/>
      <c r="F123" s="793"/>
      <c r="G123" s="793"/>
      <c r="H123" s="793"/>
      <c r="I123" s="793"/>
      <c r="J123" s="793"/>
      <c r="K123" s="301"/>
      <c r="L123" s="301"/>
      <c r="M123" s="345"/>
    </row>
    <row r="124" spans="1:26">
      <c r="J124" s="307" t="s">
        <v>876</v>
      </c>
      <c r="K124" s="307"/>
      <c r="L124" s="307"/>
      <c r="M124" s="346"/>
    </row>
    <row r="125" spans="1:26" ht="18">
      <c r="A125" s="791" t="s">
        <v>926</v>
      </c>
      <c r="B125" s="791"/>
      <c r="C125" s="791"/>
      <c r="D125" s="791"/>
      <c r="E125" s="791"/>
      <c r="F125" s="791"/>
      <c r="G125" s="791"/>
      <c r="H125" s="791"/>
      <c r="I125" s="791"/>
      <c r="J125" s="791"/>
      <c r="K125" s="302"/>
      <c r="L125" s="302"/>
      <c r="M125" s="316"/>
    </row>
    <row r="126" spans="1:26" ht="15.75">
      <c r="A126" s="80"/>
      <c r="B126" s="17"/>
      <c r="C126" s="44"/>
      <c r="D126" s="56"/>
      <c r="E126" s="17"/>
      <c r="F126" s="17"/>
      <c r="G126" s="17"/>
      <c r="H126" s="129"/>
      <c r="I126" s="17"/>
      <c r="J126" s="129"/>
      <c r="K126" s="129"/>
      <c r="L126" s="129"/>
      <c r="Q126" s="1" t="s">
        <v>390</v>
      </c>
    </row>
    <row r="127" spans="1:26" ht="15.75">
      <c r="A127" s="792" t="s">
        <v>387</v>
      </c>
      <c r="B127" s="792"/>
      <c r="C127" s="792"/>
      <c r="D127" s="792"/>
      <c r="E127" s="792"/>
      <c r="F127" s="792"/>
      <c r="G127" s="792"/>
      <c r="H127" s="792"/>
      <c r="I127" s="792"/>
      <c r="J127" s="792"/>
      <c r="K127" s="176"/>
      <c r="L127" s="176"/>
      <c r="Q127" s="341" t="s">
        <v>387</v>
      </c>
      <c r="R127" s="176"/>
      <c r="S127" s="176"/>
      <c r="T127" s="176"/>
      <c r="U127" s="176"/>
      <c r="V127" s="176"/>
      <c r="W127" s="176"/>
      <c r="X127" s="176"/>
      <c r="Y127" s="176"/>
      <c r="Z127" s="176"/>
    </row>
    <row r="128" spans="1:26" ht="15.75">
      <c r="A128" s="792" t="s">
        <v>872</v>
      </c>
      <c r="B128" s="792"/>
      <c r="C128" s="792"/>
      <c r="D128" s="792"/>
      <c r="E128" s="792"/>
      <c r="F128" s="792"/>
      <c r="G128" s="792"/>
      <c r="H128" s="792"/>
      <c r="I128" s="792"/>
      <c r="J128" s="792"/>
      <c r="K128" s="176"/>
      <c r="L128" s="176"/>
      <c r="Q128" s="341" t="s">
        <v>930</v>
      </c>
      <c r="R128" s="176"/>
      <c r="S128" s="176"/>
      <c r="T128" s="176"/>
      <c r="U128" s="176"/>
      <c r="V128" s="176"/>
      <c r="W128" s="176"/>
      <c r="X128" s="176"/>
      <c r="Y128" s="176"/>
      <c r="Z128" s="176"/>
    </row>
    <row r="129" spans="1:26">
      <c r="A129" s="22"/>
      <c r="B129" s="22"/>
      <c r="C129" s="22"/>
      <c r="D129" s="22"/>
      <c r="E129" s="22"/>
      <c r="F129" s="22"/>
      <c r="G129" s="22"/>
      <c r="H129" s="118"/>
      <c r="I129" s="22"/>
      <c r="J129" s="118"/>
      <c r="K129" s="118"/>
      <c r="L129" s="118"/>
      <c r="Q129" s="22"/>
      <c r="R129" s="22"/>
      <c r="S129" s="22"/>
      <c r="T129" s="22"/>
      <c r="U129" s="22"/>
      <c r="V129" s="22"/>
      <c r="W129" s="22"/>
      <c r="X129" s="22"/>
      <c r="Y129" s="22"/>
      <c r="Z129" s="22"/>
    </row>
    <row r="130" spans="1:26">
      <c r="A130" s="62"/>
      <c r="B130" s="57" t="s">
        <v>419</v>
      </c>
      <c r="C130" s="57"/>
      <c r="D130" s="27"/>
      <c r="E130" s="27"/>
      <c r="F130" s="27"/>
      <c r="G130" s="58" t="s">
        <v>397</v>
      </c>
      <c r="H130" s="103"/>
      <c r="I130" s="30"/>
      <c r="J130" s="104"/>
      <c r="K130" s="308" t="s">
        <v>380</v>
      </c>
      <c r="L130" s="308"/>
      <c r="Q130" s="62"/>
      <c r="R130" s="57" t="s">
        <v>419</v>
      </c>
      <c r="S130" s="57"/>
      <c r="T130" s="27"/>
      <c r="U130" s="27"/>
      <c r="V130" s="27"/>
      <c r="W130" s="58" t="s">
        <v>397</v>
      </c>
      <c r="X130" s="29"/>
      <c r="Y130" s="30"/>
      <c r="Z130" s="31"/>
    </row>
    <row r="131" spans="1:26" ht="36">
      <c r="A131" s="46"/>
      <c r="B131" s="59" t="s">
        <v>501</v>
      </c>
      <c r="C131" s="47">
        <v>1</v>
      </c>
      <c r="D131" s="47">
        <v>2</v>
      </c>
      <c r="E131" s="47">
        <v>3</v>
      </c>
      <c r="F131" s="47" t="s">
        <v>382</v>
      </c>
      <c r="G131" s="61">
        <v>1</v>
      </c>
      <c r="H131" s="106">
        <v>2</v>
      </c>
      <c r="I131" s="59" t="s">
        <v>379</v>
      </c>
      <c r="J131" s="105" t="s">
        <v>382</v>
      </c>
      <c r="K131" s="135"/>
      <c r="L131" s="135"/>
      <c r="Q131" s="46"/>
      <c r="R131" s="59" t="s">
        <v>501</v>
      </c>
      <c r="S131" s="47">
        <v>1</v>
      </c>
      <c r="T131" s="47">
        <v>2</v>
      </c>
      <c r="U131" s="47">
        <v>3</v>
      </c>
      <c r="V131" s="47" t="s">
        <v>382</v>
      </c>
      <c r="W131" s="61">
        <v>1</v>
      </c>
      <c r="X131" s="48">
        <v>2</v>
      </c>
      <c r="Y131" s="59" t="s">
        <v>379</v>
      </c>
      <c r="Z131" s="47" t="s">
        <v>382</v>
      </c>
    </row>
    <row r="132" spans="1:26" ht="15" customHeight="1">
      <c r="A132" s="1" t="s">
        <v>420</v>
      </c>
      <c r="B132" s="7">
        <f>+GETPIVOTDATA(" Undergrad Contact Hour FTE - New",'FTE Pivot for regular counts'!$A$2,"Category","7","Category2","Two-Year")</f>
        <v>13416.807777777778</v>
      </c>
      <c r="C132" s="7">
        <f>+GETPIVOTDATA(" Undergrad Contact Hour FTE - New",'FTE Pivot for regular counts'!$A$2,"Category","8","Category2","Two-Year")</f>
        <v>36204.52888888889</v>
      </c>
      <c r="D132" s="7">
        <f>+GETPIVOTDATA(" Undergrad Contact Hour FTE - New",'FTE Pivot for regular counts'!$A$2,"Category","9","Category2","Two-Year")</f>
        <v>11331.919999999998</v>
      </c>
      <c r="E132" s="7">
        <f>+GETPIVOTDATA(" Undergrad Contact Hour FTE - New",'FTE Pivot for regular counts'!$A$2,"Category","10","Category2","Two-Year")</f>
        <v>1196.0644444444445</v>
      </c>
      <c r="F132" s="8">
        <f>+GETPIVOTDATA(" Undergrad Contact Hour FTE - New",'FTE Pivot for regular counts'!$A$2,"Category2","Two-Year")</f>
        <v>62149.321111111109</v>
      </c>
      <c r="G132" s="7">
        <f>+GETPIVOTDATA(" Undergrad Contact Hour FTE - New",'FTE Pivot for regular counts'!$A$2,"Category","12","Category2","Technical")</f>
        <v>6009.1622222222222</v>
      </c>
      <c r="H132" s="130">
        <f>+GETPIVOTDATA(" Undergrad Contact Hour FTE - New",'FTE Pivot for regular counts'!$A$2,"Category","13","Category2","Technical")</f>
        <v>32585.343166666658</v>
      </c>
      <c r="I132" s="7">
        <f>+GETPIVOTDATA(" Undergrad Contact Hour FTE - New",'FTE Pivot for regular counts'!$A$2,"Category",14,"Category2","Technical")</f>
        <v>108.17722222222223</v>
      </c>
      <c r="J132" s="130">
        <f>+GETPIVOTDATA(" Undergrad Contact Hour FTE - New",'FTE Pivot for regular counts'!$A$2,"Category2","Technical")</f>
        <v>38702.682611111108</v>
      </c>
      <c r="K132" s="130"/>
      <c r="L132" s="130"/>
      <c r="Q132" s="1" t="s">
        <v>420</v>
      </c>
      <c r="R132" s="7">
        <f>+GETPIVOTDATA(" Undergrad Contact Hour FTE - Old",'FTE Pivot for regular counts'!$A$2,"Category","7","Category2","Two-Year")</f>
        <v>14506.864444444444</v>
      </c>
      <c r="S132" s="7">
        <f>+GETPIVOTDATA(" Undergrad Contact Hour FTE - Old",'FTE Pivot for regular counts'!$A$2,"Category","8","Category2","Two-Year")</f>
        <v>37016.044444444451</v>
      </c>
      <c r="T132" s="7">
        <f>+GETPIVOTDATA(" Undergrad Contact Hour FTE - Old",'FTE Pivot for regular counts'!$A$2,"Category","9","Category2","Two-Year")</f>
        <v>11114.646666666666</v>
      </c>
      <c r="U132" s="7">
        <f>+GETPIVOTDATA(" Undergrad Contact Hour FTE - Old",'FTE Pivot for regular counts'!$A$2,"Category","10","Category2","Two-Year")</f>
        <v>1384.0111111111112</v>
      </c>
      <c r="V132" s="8">
        <f>+GETPIVOTDATA(" Undergrad Contact Hour FTE - Old",'FTE Pivot for regular counts'!$A$2,"Category2","Two-Year")</f>
        <v>64021.566666666666</v>
      </c>
      <c r="W132" s="7">
        <f>+GETPIVOTDATA(" Undergrad Contact Hour FTE - Old",'FTE Pivot for regular counts'!$A$2,"Category","12","Category2","Technical")</f>
        <v>6795.3086222222237</v>
      </c>
      <c r="X132" s="7">
        <f>+GETPIVOTDATA(" Undergrad Contact Hour FTE - Old",'FTE Pivot for regular counts'!$A$2,"Category","13","Category2","Technical")</f>
        <v>31245.567399999993</v>
      </c>
      <c r="Y132" s="7">
        <f>+GETPIVOTDATA(" Undergrad Contact Hour FTE - Old",'FTE Pivot for regular counts'!$A$2,"Category",14,"Category2","Technical")</f>
        <v>98.387222222222221</v>
      </c>
      <c r="Z132" s="7">
        <f>+GETPIVOTDATA(" Undergrad Contact Hour FTE - Old",'FTE Pivot for regular counts'!$A$2,"Category2","Technical")</f>
        <v>38139.263244444439</v>
      </c>
    </row>
    <row r="133" spans="1:26" ht="15" customHeight="1">
      <c r="B133" s="7"/>
      <c r="C133" s="33"/>
      <c r="D133" s="33"/>
      <c r="G133" s="32"/>
      <c r="R133" s="7"/>
      <c r="S133" s="33"/>
      <c r="T133" s="33"/>
      <c r="W133" s="32"/>
    </row>
    <row r="134" spans="1:26" ht="15" customHeight="1">
      <c r="A134" s="1" t="s">
        <v>421</v>
      </c>
      <c r="B134" s="7">
        <f>+GETPIVOTDATA(" Undergrad Contact Hour FTE - New",'FTE Pivot for regular counts'!$A$2,"State","AL","Category","7","Category2","Two-Year")</f>
        <v>0</v>
      </c>
      <c r="C134" s="7">
        <f>+GETPIVOTDATA(" Undergrad Contact Hour FTE - New",'FTE Pivot for regular counts'!$A$2,"State","AL","Category","8","Category2","Two-Year")</f>
        <v>0</v>
      </c>
      <c r="D134" s="7">
        <f>+GETPIVOTDATA(" Undergrad Contact Hour FTE - New",'FTE Pivot for regular counts'!$A$2,"State","AL","Category","9","Category2","Two-Year")</f>
        <v>0</v>
      </c>
      <c r="E134" s="7">
        <f>+GETPIVOTDATA(" Undergrad Contact Hour FTE - New",'FTE Pivot for regular counts'!$A$2,"State","AL","Category","10","Category2","Two-Year")</f>
        <v>0</v>
      </c>
      <c r="F134" s="8">
        <f>+GETPIVOTDATA(" Undergrad Contact Hour FTE - New",'FTE Pivot for regular counts'!$A$2,"State","AL","Category2","Two-Year")</f>
        <v>0</v>
      </c>
      <c r="G134" s="7">
        <f>+GETPIVOTDATA(" Undergrad Contact Hour FTE - New",'FTE Pivot for regular counts'!$A$2,"State","AL","Category","12","Category2","Technical")</f>
        <v>0</v>
      </c>
      <c r="H134" s="130">
        <f>+GETPIVOTDATA(" Undergrad Contact Hour FTE - New",'FTE Pivot for regular counts'!$A$2,"State","AL","Category","13","Category2","Technical")</f>
        <v>0</v>
      </c>
      <c r="I134" s="7">
        <f>+GETPIVOTDATA(" Undergrad Contact Hour FTE - New",'FTE Pivot for regular counts'!$A$2,"State","AL","Category",14,"Category2","Technical")</f>
        <v>0</v>
      </c>
      <c r="J134" s="130">
        <f>+GETPIVOTDATA(" Undergrad Contact Hour FTE - New",'FTE Pivot for regular counts'!$A$2,"State","AL","Category2","Technical")</f>
        <v>0</v>
      </c>
      <c r="K134" s="130"/>
      <c r="L134" s="130"/>
      <c r="Q134" s="1" t="s">
        <v>421</v>
      </c>
      <c r="R134" s="7">
        <f>+GETPIVOTDATA(" Undergrad Contact Hour FTE - Old",'FTE Pivot for regular counts'!$A$2,"State","AL","Category","7","Category2","Two-Year")</f>
        <v>0</v>
      </c>
      <c r="S134" s="7">
        <f>+GETPIVOTDATA(" Undergrad Contact Hour FTE - Old",'FTE Pivot for regular counts'!$A$2,"State","AL","Category","8","Category2","Two-Year")</f>
        <v>0</v>
      </c>
      <c r="T134" s="7">
        <f>+GETPIVOTDATA(" Undergrad Contact Hour FTE - Old",'FTE Pivot for regular counts'!$A$2,"State","AL","Category","9","Category2","Two-Year")</f>
        <v>0</v>
      </c>
      <c r="U134" s="7">
        <f>+GETPIVOTDATA(" Undergrad Contact Hour FTE - Old",'FTE Pivot for regular counts'!$A$2,"State","AL","Category","10","Category2","Two-Year")</f>
        <v>0</v>
      </c>
      <c r="V134" s="8">
        <f>+GETPIVOTDATA(" Undergrad Contact Hour FTE - Old",'FTE Pivot for regular counts'!$A$2,"State","AL","Category2","Two-Year")</f>
        <v>0</v>
      </c>
      <c r="W134" s="7">
        <f>+GETPIVOTDATA(" Undergrad Contact Hour FTE - Old",'FTE Pivot for regular counts'!$A$2,"State","AL","Category","12","Category2","Technical")</f>
        <v>0</v>
      </c>
      <c r="X134" s="7">
        <f>+GETPIVOTDATA(" Undergrad Contact Hour FTE - Old",'FTE Pivot for regular counts'!$A$2,"State","AL","Category","13","Category2","Technical")</f>
        <v>0</v>
      </c>
      <c r="Y134" s="7">
        <f>+GETPIVOTDATA(" Undergrad Contact Hour FTE - Old",'FTE Pivot for regular counts'!$A$2,"State","AL","Category",14,"Category2","Technical")</f>
        <v>0</v>
      </c>
      <c r="Z134" s="7">
        <f>+GETPIVOTDATA(" Undergrad Contact Hour FTE - Old",'FTE Pivot for regular counts'!$A$2,"State","AL","Category2","Technical")</f>
        <v>0</v>
      </c>
    </row>
    <row r="135" spans="1:26" ht="15" customHeight="1">
      <c r="A135" s="1" t="s">
        <v>422</v>
      </c>
      <c r="B135" s="33">
        <f>+GETPIVOTDATA(" Undergrad Contact Hour FTE - New",'FTE Pivot for regular counts'!$A$2,"State","AR","Category","7","Category2","Two-Year")</f>
        <v>0</v>
      </c>
      <c r="C135" s="33">
        <f>+GETPIVOTDATA(" Undergrad Contact Hour FTE - New",'FTE Pivot for regular counts'!$A$2,"State","AR","Category","8","Category2","Two-Year")</f>
        <v>0</v>
      </c>
      <c r="D135" s="33">
        <f>+GETPIVOTDATA(" Undergrad Contact Hour FTE - New",'FTE Pivot for regular counts'!$A$2,"State","AR","Category","9","Category2","Two-Year")</f>
        <v>0</v>
      </c>
      <c r="E135" s="33">
        <f>+GETPIVOTDATA(" Undergrad Contact Hour FTE - New",'FTE Pivot for regular counts'!$A$2,"State","AR","Category","10","Category2","Two-Year")</f>
        <v>0</v>
      </c>
      <c r="F135" s="8">
        <f>+GETPIVOTDATA(" Undergrad Contact Hour FTE - New",'FTE Pivot for regular counts'!$A$2,"State","AR","Category2","Two-Year")</f>
        <v>0</v>
      </c>
      <c r="G135" s="33">
        <f>+GETPIVOTDATA(" Undergrad Contact Hour FTE - New",'FTE Pivot for regular counts'!$A$2,"State","AR","Category","12","Category2","Technical")</f>
        <v>0</v>
      </c>
      <c r="H135" s="131">
        <f>+GETPIVOTDATA(" Undergrad Contact Hour FTE - New",'FTE Pivot for regular counts'!$A$2,"State","AR","Category","13","Category2","Technical")</f>
        <v>0</v>
      </c>
      <c r="I135" s="33">
        <f>+GETPIVOTDATA(" Undergrad Contact Hour FTE - New",'FTE Pivot for regular counts'!$A$2,"State","AR","Category",14,"Category2","Technical")</f>
        <v>0</v>
      </c>
      <c r="J135" s="131">
        <f>+GETPIVOTDATA(" Undergrad Contact Hour FTE - New",'FTE Pivot for regular counts'!$A$2,"State","AR","Category2","Technical")</f>
        <v>0</v>
      </c>
      <c r="K135" s="131"/>
      <c r="L135" s="131"/>
      <c r="Q135" s="1" t="s">
        <v>422</v>
      </c>
      <c r="R135" s="33">
        <f>+GETPIVOTDATA(" Undergrad Contact Hour FTE - Old",'FTE Pivot for regular counts'!$A$2,"State","AR","Category","7","Category2","Two-Year")</f>
        <v>0</v>
      </c>
      <c r="S135" s="33">
        <f>+GETPIVOTDATA(" Undergrad Contact Hour FTE - Old",'FTE Pivot for regular counts'!$A$2,"State","AR","Category","8","Category2","Two-Year")</f>
        <v>0</v>
      </c>
      <c r="T135" s="33">
        <f>+GETPIVOTDATA(" Undergrad Contact Hour FTE - Old",'FTE Pivot for regular counts'!$A$2,"State","AR","Category","9","Category2","Two-Year")</f>
        <v>0</v>
      </c>
      <c r="U135" s="33">
        <f>+GETPIVOTDATA(" Undergrad Contact Hour FTE - Old",'FTE Pivot for regular counts'!$A$2,"State","AR","Category","10","Category2","Two-Year")</f>
        <v>0</v>
      </c>
      <c r="V135" s="8">
        <f>+GETPIVOTDATA(" Undergrad Contact Hour FTE - Old",'FTE Pivot for regular counts'!$A$2,"State","AR","Category2","Two-Year")</f>
        <v>0</v>
      </c>
      <c r="W135" s="33">
        <f>+GETPIVOTDATA(" Undergrad Contact Hour FTE - Old",'FTE Pivot for regular counts'!$A$2,"State","AR","Category","12","Category2","Technical")</f>
        <v>0</v>
      </c>
      <c r="X135" s="33">
        <f>+GETPIVOTDATA(" Undergrad Contact Hour FTE - Old",'FTE Pivot for regular counts'!$A$2,"State","AR","Category","13","Category2","Technical")</f>
        <v>0</v>
      </c>
      <c r="Y135" s="33">
        <f>+GETPIVOTDATA(" Undergrad Contact Hour FTE - Old",'FTE Pivot for regular counts'!$A$2,"State","AR","Category",14,"Category2","Technical")</f>
        <v>0</v>
      </c>
      <c r="Z135" s="33">
        <f>+GETPIVOTDATA(" Undergrad Contact Hour FTE - Old",'FTE Pivot for regular counts'!$A$2,"State","AR","Category2","Technical")</f>
        <v>0</v>
      </c>
    </row>
    <row r="136" spans="1:26" ht="15" customHeight="1">
      <c r="A136" s="1" t="s">
        <v>459</v>
      </c>
      <c r="B136" s="33">
        <f>+GETPIVOTDATA(" Undergrad Contact Hour FTE - New",'FTE Pivot for regular counts'!$A$2,"State","DE","Category","7","Category2","Two-Year")</f>
        <v>0</v>
      </c>
      <c r="C136" s="33">
        <f>+GETPIVOTDATA(" Undergrad Contact Hour FTE - New",'FTE Pivot for regular counts'!$A$2,"State","DE","Category","8","Category2","Two-Year")</f>
        <v>0</v>
      </c>
      <c r="D136" s="33">
        <f>+GETPIVOTDATA(" Undergrad Contact Hour FTE - New",'FTE Pivot for regular counts'!$A$2,"State","DE","Category","9","Category2","Two-Year")</f>
        <v>0</v>
      </c>
      <c r="E136" s="33">
        <f>+GETPIVOTDATA(" Undergrad Contact Hour FTE - New",'FTE Pivot for regular counts'!$A$2,"State","DE","Category","10","Category2","Two-Year")</f>
        <v>0</v>
      </c>
      <c r="F136" s="8">
        <f>+GETPIVOTDATA(" Undergrad Contact Hour FTE - New",'FTE Pivot for regular counts'!$A$2,"State","DE","Category2","Two-Year")</f>
        <v>0</v>
      </c>
      <c r="G136" s="33">
        <f>+GETPIVOTDATA(" Undergrad Contact Hour FTE - New",'FTE Pivot for regular counts'!$A$2,"State","DE","Category","12","Category2","Technical")</f>
        <v>0</v>
      </c>
      <c r="H136" s="131">
        <f>+GETPIVOTDATA(" Undergrad Contact Hour FTE - New",'FTE Pivot for regular counts'!$A$2,"State","DE","Category","13","Category2","Technical")</f>
        <v>0</v>
      </c>
      <c r="I136" s="33">
        <f>+GETPIVOTDATA(" Undergrad Contact Hour FTE - New",'FTE Pivot for regular counts'!$A$2,"State","DE","Category",14,"Category2","Technical")</f>
        <v>0</v>
      </c>
      <c r="J136" s="131">
        <f>+GETPIVOTDATA(" Undergrad Contact Hour FTE - New",'FTE Pivot for regular counts'!$A$2,"State","DE","Category2","Technical")</f>
        <v>0</v>
      </c>
      <c r="K136" s="131"/>
      <c r="L136" s="131"/>
      <c r="Q136" s="1" t="s">
        <v>459</v>
      </c>
      <c r="R136" s="33">
        <f>+GETPIVOTDATA(" Undergrad Contact Hour FTE - Old",'FTE Pivot for regular counts'!$A$2,"State","DE","Category","7","Category2","Two-Year")</f>
        <v>0</v>
      </c>
      <c r="S136" s="33">
        <f>+GETPIVOTDATA(" Undergrad Contact Hour FTE - Old",'FTE Pivot for regular counts'!$A$2,"State","DE","Category","8","Category2","Two-Year")</f>
        <v>0</v>
      </c>
      <c r="T136" s="33">
        <f>+GETPIVOTDATA(" Undergrad Contact Hour FTE - Old",'FTE Pivot for regular counts'!$A$2,"State","DE","Category","9","Category2","Two-Year")</f>
        <v>0</v>
      </c>
      <c r="U136" s="33">
        <f>+GETPIVOTDATA(" Undergrad Contact Hour FTE - Old",'FTE Pivot for regular counts'!$A$2,"State","DE","Category","10","Category2","Two-Year")</f>
        <v>0</v>
      </c>
      <c r="V136" s="8">
        <f>+GETPIVOTDATA(" Undergrad Contact Hour FTE - Old",'FTE Pivot for regular counts'!$A$2,"State","DE","Category2","Two-Year")</f>
        <v>0</v>
      </c>
      <c r="W136" s="33">
        <f>+GETPIVOTDATA(" Undergrad Contact Hour FTE - Old",'FTE Pivot for regular counts'!$A$2,"State","DE","Category","12","Category2","Technical")</f>
        <v>0</v>
      </c>
      <c r="X136" s="33">
        <f>+GETPIVOTDATA(" Undergrad Contact Hour FTE - Old",'FTE Pivot for regular counts'!$A$2,"State","DE","Category","13","Category2","Technical")</f>
        <v>0</v>
      </c>
      <c r="Y136" s="33">
        <f>+GETPIVOTDATA(" Undergrad Contact Hour FTE - Old",'FTE Pivot for regular counts'!$A$2,"State","DE","Category",14,"Category2","Technical")</f>
        <v>0</v>
      </c>
      <c r="Z136" s="33">
        <f>+GETPIVOTDATA(" Undergrad Contact Hour FTE - Old",'FTE Pivot for regular counts'!$A$2,"State","DE","Category2","Technical")</f>
        <v>0</v>
      </c>
    </row>
    <row r="137" spans="1:26" ht="15" customHeight="1">
      <c r="A137" s="1" t="s">
        <v>423</v>
      </c>
      <c r="B137" s="33">
        <f>+GETPIVOTDATA(" Undergrad Contact Hour FTE - New",'FTE Pivot for regular counts'!$A$2,"State","FL","Category","7","Category2","Two-Year")</f>
        <v>12945.681111111111</v>
      </c>
      <c r="C137" s="33">
        <f>+GETPIVOTDATA(" Undergrad Contact Hour FTE - New",'FTE Pivot for regular counts'!$A$2,"State","FL","Category","8","Category2","Two-Year")</f>
        <v>25054.173333333332</v>
      </c>
      <c r="D137" s="33">
        <f>+GETPIVOTDATA(" Undergrad Contact Hour FTE - New",'FTE Pivot for regular counts'!$A$2,"State","FL","Category","9","Category2","Two-Year")</f>
        <v>3648.6766666666663</v>
      </c>
      <c r="E137" s="33">
        <f>+GETPIVOTDATA(" Undergrad Contact Hour FTE - New",'FTE Pivot for regular counts'!$A$2,"State","FL","Category","10","Category2","Two-Year")</f>
        <v>218.13888888888889</v>
      </c>
      <c r="F137" s="8">
        <f>+GETPIVOTDATA(" Undergrad Contact Hour FTE - New",'FTE Pivot for regular counts'!$A$2,"State","FL","Category2","Two-Year")</f>
        <v>41866.67</v>
      </c>
      <c r="G137" s="33">
        <f>+GETPIVOTDATA(" Undergrad Contact Hour FTE - New",'FTE Pivot for regular counts'!$A$2,"State","FL","Category","12","Category2","Technical")</f>
        <v>0</v>
      </c>
      <c r="H137" s="131">
        <f>+GETPIVOTDATA(" Undergrad Contact Hour FTE - New",'FTE Pivot for regular counts'!$A$2,"State","FL","Category","13","Category2","Technical")</f>
        <v>0</v>
      </c>
      <c r="I137" s="33">
        <f>+GETPIVOTDATA(" Undergrad Contact Hour FTE - New",'FTE Pivot for regular counts'!$A$2,"State","FL","Category",14,"Category2","Technical")</f>
        <v>0</v>
      </c>
      <c r="J137" s="131">
        <f>+GETPIVOTDATA(" Undergrad Contact Hour FTE - New",'FTE Pivot for regular counts'!$A$2,"State","FL","Category2","Technical")</f>
        <v>0</v>
      </c>
      <c r="K137" s="131"/>
      <c r="L137" s="131"/>
      <c r="Q137" s="1" t="s">
        <v>423</v>
      </c>
      <c r="R137" s="33">
        <f>+GETPIVOTDATA(" Undergrad Contact Hour FTE - Old",'FTE Pivot for regular counts'!$A$2,"State","FL","Category","7","Category2","Two-Year")</f>
        <v>14074.293333333333</v>
      </c>
      <c r="S137" s="33">
        <f>+GETPIVOTDATA(" Undergrad Contact Hour FTE - Old",'FTE Pivot for regular counts'!$A$2,"State","FL","Category","8","Category2","Two-Year")</f>
        <v>25831.948888888892</v>
      </c>
      <c r="T137" s="33">
        <f>+GETPIVOTDATA(" Undergrad Contact Hour FTE - Old",'FTE Pivot for regular counts'!$A$2,"State","FL","Category","9","Category2","Two-Year")</f>
        <v>3749.5211111111112</v>
      </c>
      <c r="U137" s="33">
        <f>+GETPIVOTDATA(" Undergrad Contact Hour FTE - Old",'FTE Pivot for regular counts'!$A$2,"State","FL","Category","10","Category2","Two-Year")</f>
        <v>229.1911111111111</v>
      </c>
      <c r="V137" s="8">
        <f>+GETPIVOTDATA(" Undergrad Contact Hour FTE - Old",'FTE Pivot for regular counts'!$A$2,"State","FL","Category2","Two-Year")</f>
        <v>43884.954444444447</v>
      </c>
      <c r="W137" s="33">
        <f>+GETPIVOTDATA(" Undergrad Contact Hour FTE - Old",'FTE Pivot for regular counts'!$A$2,"State","FL","Category","12","Category2","Technical")</f>
        <v>0</v>
      </c>
      <c r="X137" s="33">
        <f>+GETPIVOTDATA(" Undergrad Contact Hour FTE - Old",'FTE Pivot for regular counts'!$A$2,"State","FL","Category","13","Category2","Technical")</f>
        <v>0</v>
      </c>
      <c r="Y137" s="33">
        <f>+GETPIVOTDATA(" Undergrad Contact Hour FTE - Old",'FTE Pivot for regular counts'!$A$2,"State","FL","Category",14,"Category2","Technical")</f>
        <v>0</v>
      </c>
      <c r="Z137" s="33">
        <f>+GETPIVOTDATA(" Undergrad Contact Hour FTE - Old",'FTE Pivot for regular counts'!$A$2,"State","FL","Category2","Technical")</f>
        <v>0</v>
      </c>
    </row>
    <row r="138" spans="1:26" ht="15" customHeight="1">
      <c r="B138" s="33"/>
      <c r="C138" s="33"/>
      <c r="D138" s="33"/>
      <c r="E138" s="33"/>
      <c r="F138" s="8"/>
      <c r="G138" s="33"/>
      <c r="H138" s="131"/>
      <c r="I138" s="33"/>
      <c r="J138" s="131"/>
      <c r="K138" s="131"/>
      <c r="L138" s="131"/>
      <c r="R138" s="33"/>
      <c r="S138" s="33"/>
      <c r="T138" s="33"/>
      <c r="U138" s="33"/>
      <c r="V138" s="8"/>
      <c r="W138" s="33"/>
      <c r="X138" s="33"/>
      <c r="Y138" s="33"/>
      <c r="Z138" s="33"/>
    </row>
    <row r="139" spans="1:26" ht="15" customHeight="1">
      <c r="A139" s="1" t="s">
        <v>424</v>
      </c>
      <c r="B139" s="33">
        <f>+GETPIVOTDATA(" Undergrad Contact Hour FTE - New",'FTE Pivot for regular counts'!$A$2,"State","GA","Category","7","Category2","Two-Year")</f>
        <v>0</v>
      </c>
      <c r="C139" s="33">
        <f>+GETPIVOTDATA(" Undergrad Contact Hour FTE - New",'FTE Pivot for regular counts'!$A$2,"State","GA","Category","8","Category2","Two-Year")</f>
        <v>0</v>
      </c>
      <c r="D139" s="33">
        <f>+GETPIVOTDATA(" Undergrad Contact Hour FTE - New",'FTE Pivot for regular counts'!$A$2,"State","GA","Category","9","Category2","Two-Year")</f>
        <v>0</v>
      </c>
      <c r="E139" s="33">
        <f>+GETPIVOTDATA(" Undergrad Contact Hour FTE - New",'FTE Pivot for regular counts'!$A$2,"State","GA","Category","10","Category2","Two-Year")</f>
        <v>0</v>
      </c>
      <c r="F139" s="8">
        <f>+GETPIVOTDATA(" Undergrad Contact Hour FTE - New",'FTE Pivot for regular counts'!$A$2,"State","GA","Category2","Two-Year")</f>
        <v>0</v>
      </c>
      <c r="G139" s="33">
        <f>+GETPIVOTDATA(" Undergrad Contact Hour FTE - New",'FTE Pivot for regular counts'!$A$2,"State","GA","Category","12","Category2","Technical")</f>
        <v>0</v>
      </c>
      <c r="H139" s="131">
        <f>+GETPIVOTDATA(" Undergrad Contact Hour FTE - New",'FTE Pivot for regular counts'!$A$2,"State","GA","Category","13","Category2","Technical")</f>
        <v>0</v>
      </c>
      <c r="I139" s="33">
        <f>+GETPIVOTDATA(" Undergrad Contact Hour FTE - New",'FTE Pivot for regular counts'!$A$2,"State","GA","Category",14,"Category2","Technical")</f>
        <v>0</v>
      </c>
      <c r="J139" s="131">
        <f>+GETPIVOTDATA(" Undergrad Contact Hour FTE - New",'FTE Pivot for regular counts'!$A$2,"State","GA","Category2","Technical")</f>
        <v>0</v>
      </c>
      <c r="K139" s="131"/>
      <c r="L139" s="131"/>
      <c r="Q139" s="1" t="s">
        <v>424</v>
      </c>
      <c r="R139" s="33">
        <f>+GETPIVOTDATA(" Undergrad Contact Hour FTE - Old",'FTE Pivot for regular counts'!$A$2,"State","GA","Category","7","Category2","Two-Year")</f>
        <v>0</v>
      </c>
      <c r="S139" s="33">
        <f>+GETPIVOTDATA(" Undergrad Contact Hour FTE - Old",'FTE Pivot for regular counts'!$A$2,"State","GA","Category","8","Category2","Two-Year")</f>
        <v>0</v>
      </c>
      <c r="T139" s="33">
        <f>+GETPIVOTDATA(" Undergrad Contact Hour FTE - Old",'FTE Pivot for regular counts'!$A$2,"State","GA","Category","9","Category2","Two-Year")</f>
        <v>0</v>
      </c>
      <c r="U139" s="33">
        <f>+GETPIVOTDATA(" Undergrad Contact Hour FTE - Old",'FTE Pivot for regular counts'!$A$2,"State","GA","Category","10","Category2","Two-Year")</f>
        <v>0</v>
      </c>
      <c r="V139" s="8">
        <f>+GETPIVOTDATA(" Undergrad Contact Hour FTE - Old",'FTE Pivot for regular counts'!$A$2,"State","GA","Category2","Two-Year")</f>
        <v>0</v>
      </c>
      <c r="W139" s="33">
        <f>+GETPIVOTDATA(" Undergrad Contact Hour FTE - Old",'FTE Pivot for regular counts'!$A$2,"State","GA","Category","12","Category2","Technical")</f>
        <v>0</v>
      </c>
      <c r="X139" s="33">
        <f>+GETPIVOTDATA(" Undergrad Contact Hour FTE - Old",'FTE Pivot for regular counts'!$A$2,"State","GA","Category","13","Category2","Technical")</f>
        <v>0</v>
      </c>
      <c r="Y139" s="33">
        <f>+GETPIVOTDATA(" Undergrad Contact Hour FTE - Old",'FTE Pivot for regular counts'!$A$2,"State","GA","Category",14,"Category2","Technical")</f>
        <v>0</v>
      </c>
      <c r="Z139" s="33">
        <f>+GETPIVOTDATA(" Undergrad Contact Hour FTE - Old",'FTE Pivot for regular counts'!$A$2,"State","GA","Category2","Technical")</f>
        <v>0</v>
      </c>
    </row>
    <row r="140" spans="1:26" ht="15" customHeight="1">
      <c r="A140" s="1" t="s">
        <v>425</v>
      </c>
      <c r="B140" s="33">
        <f>+GETPIVOTDATA(" Undergrad Contact Hour FTE - New",'FTE Pivot for regular counts'!$A$2,"State","KY","Category","7","Category2","Two-Year")</f>
        <v>0</v>
      </c>
      <c r="C140" s="33">
        <f>+GETPIVOTDATA(" Undergrad Contact Hour FTE - New",'FTE Pivot for regular counts'!$A$2,"State","KY","Category","8","Category2","Two-Year")</f>
        <v>0</v>
      </c>
      <c r="D140" s="33">
        <f>+GETPIVOTDATA(" Undergrad Contact Hour FTE - New",'FTE Pivot for regular counts'!$A$2,"State","KY","Category","9","Category2","Two-Year")</f>
        <v>0</v>
      </c>
      <c r="E140" s="33">
        <f>+GETPIVOTDATA(" Undergrad Contact Hour FTE - New",'FTE Pivot for regular counts'!$A$2,"State","KY","Category","10","Category2","Two-Year")</f>
        <v>0</v>
      </c>
      <c r="F140" s="8">
        <f>+GETPIVOTDATA(" Undergrad Contact Hour FTE - New",'FTE Pivot for regular counts'!$A$2,"State","KY","Category2","Two-Year")</f>
        <v>0</v>
      </c>
      <c r="G140" s="33">
        <f>+GETPIVOTDATA(" Undergrad Contact Hour FTE - New",'FTE Pivot for regular counts'!$A$2,"State","KY","Category","12","Category2","Technical")</f>
        <v>0</v>
      </c>
      <c r="H140" s="131">
        <f>+GETPIVOTDATA(" Undergrad Contact Hour FTE - New",'FTE Pivot for regular counts'!$A$2,"State","KY","Category","13","Category2","Technical")</f>
        <v>0</v>
      </c>
      <c r="I140" s="33">
        <f>+GETPIVOTDATA(" Undergrad Contact Hour FTE - New",'FTE Pivot for regular counts'!$A$2,"State","KY","Category",14,"Category2","Technical")</f>
        <v>0</v>
      </c>
      <c r="J140" s="131">
        <f>+GETPIVOTDATA(" Undergrad Contact Hour FTE - New",'FTE Pivot for regular counts'!$A$2,"State","KY","Category2","Technical")</f>
        <v>0</v>
      </c>
      <c r="K140" s="131"/>
      <c r="L140" s="131"/>
      <c r="Q140" s="1" t="s">
        <v>425</v>
      </c>
      <c r="R140" s="33">
        <f>+GETPIVOTDATA(" Undergrad Contact Hour FTE - Old",'FTE Pivot for regular counts'!$A$2,"State","KY","Category","7","Category2","Two-Year")</f>
        <v>0</v>
      </c>
      <c r="S140" s="33">
        <f>+GETPIVOTDATA(" Undergrad Contact Hour FTE - Old",'FTE Pivot for regular counts'!$A$2,"State","KY","Category","8","Category2","Two-Year")</f>
        <v>0</v>
      </c>
      <c r="T140" s="33">
        <f>+GETPIVOTDATA(" Undergrad Contact Hour FTE - Old",'FTE Pivot for regular counts'!$A$2,"State","KY","Category","9","Category2","Two-Year")</f>
        <v>0</v>
      </c>
      <c r="U140" s="33">
        <f>+GETPIVOTDATA(" Undergrad Contact Hour FTE - Old",'FTE Pivot for regular counts'!$A$2,"State","KY","Category","10","Category2","Two-Year")</f>
        <v>0</v>
      </c>
      <c r="V140" s="8">
        <f>+GETPIVOTDATA(" Undergrad Contact Hour FTE - Old",'FTE Pivot for regular counts'!$A$2,"State","KY","Category2","Two-Year")</f>
        <v>0</v>
      </c>
      <c r="W140" s="33">
        <f>+GETPIVOTDATA(" Undergrad Contact Hour FTE - Old",'FTE Pivot for regular counts'!$A$2,"State","KY","Category","12","Category2","Technical")</f>
        <v>0</v>
      </c>
      <c r="X140" s="33">
        <f>+GETPIVOTDATA(" Undergrad Contact Hour FTE - Old",'FTE Pivot for regular counts'!$A$2,"State","KY","Category","13","Category2","Technical")</f>
        <v>0</v>
      </c>
      <c r="Y140" s="33">
        <f>+GETPIVOTDATA(" Undergrad Contact Hour FTE - Old",'FTE Pivot for regular counts'!$A$2,"State","KY","Category",14,"Category2","Technical")</f>
        <v>0</v>
      </c>
      <c r="Z140" s="33">
        <f>+GETPIVOTDATA(" Undergrad Contact Hour FTE - Old",'FTE Pivot for regular counts'!$A$2,"State","KY","Category2","Technical")</f>
        <v>0</v>
      </c>
    </row>
    <row r="141" spans="1:26" ht="15" customHeight="1">
      <c r="A141" s="1" t="s">
        <v>426</v>
      </c>
      <c r="B141" s="33">
        <f>+GETPIVOTDATA(" Undergrad Contact Hour FTE - New",'FTE Pivot for regular counts'!$A$2,"State","LA","Category","7","Category2","Two-Year")</f>
        <v>0</v>
      </c>
      <c r="C141" s="33">
        <f>+GETPIVOTDATA(" Undergrad Contact Hour FTE - New",'FTE Pivot for regular counts'!$A$2,"State","LA","Category","8","Category2","Two-Year")</f>
        <v>0</v>
      </c>
      <c r="D141" s="33">
        <f>+GETPIVOTDATA(" Undergrad Contact Hour FTE - New",'FTE Pivot for regular counts'!$A$2,"State","LA","Category","9","Category2","Two-Year")</f>
        <v>0</v>
      </c>
      <c r="E141" s="33">
        <f>+GETPIVOTDATA(" Undergrad Contact Hour FTE - New",'FTE Pivot for regular counts'!$A$2,"State","LA","Category","10","Category2","Two-Year")</f>
        <v>0</v>
      </c>
      <c r="F141" s="8">
        <f>+GETPIVOTDATA(" Undergrad Contact Hour FTE - New",'FTE Pivot for regular counts'!$A$2,"State","LA","Category2","Two-Year")</f>
        <v>0</v>
      </c>
      <c r="G141" s="33">
        <f>+GETPIVOTDATA(" Undergrad Contact Hour FTE - New",'FTE Pivot for regular counts'!$A$2,"State","LA","Category","12","Category2","Technical")</f>
        <v>0</v>
      </c>
      <c r="H141" s="131">
        <f>+GETPIVOTDATA(" Undergrad Contact Hour FTE - New",'FTE Pivot for regular counts'!$A$2,"State","LA","Category","13","Category2","Technical")</f>
        <v>39.406666666666666</v>
      </c>
      <c r="I141" s="33">
        <f>+GETPIVOTDATA(" Undergrad Contact Hour FTE - New",'FTE Pivot for regular counts'!$A$2,"State","LA","Category",14,"Category2","Technical")</f>
        <v>108.17722222222223</v>
      </c>
      <c r="J141" s="131">
        <f>+GETPIVOTDATA(" Undergrad Contact Hour FTE - New",'FTE Pivot for regular counts'!$A$2,"State","LA","Category2","Technical")</f>
        <v>147.58388888888891</v>
      </c>
      <c r="K141" s="131"/>
      <c r="L141" s="131"/>
      <c r="Q141" s="1" t="s">
        <v>426</v>
      </c>
      <c r="R141" s="33">
        <f>+GETPIVOTDATA(" Undergrad Contact Hour FTE - Old",'FTE Pivot for regular counts'!$A$2,"State","LA","Category","7","Category2","Two-Year")</f>
        <v>0</v>
      </c>
      <c r="S141" s="33">
        <f>+GETPIVOTDATA(" Undergrad Contact Hour FTE - Old",'FTE Pivot for regular counts'!$A$2,"State","LA","Category","8","Category2","Two-Year")</f>
        <v>0</v>
      </c>
      <c r="T141" s="33">
        <f>+GETPIVOTDATA(" Undergrad Contact Hour FTE - Old",'FTE Pivot for regular counts'!$A$2,"State","LA","Category","9","Category2","Two-Year")</f>
        <v>0</v>
      </c>
      <c r="U141" s="33">
        <f>+GETPIVOTDATA(" Undergrad Contact Hour FTE - Old",'FTE Pivot for regular counts'!$A$2,"State","LA","Category","10","Category2","Two-Year")</f>
        <v>0</v>
      </c>
      <c r="V141" s="8">
        <f>+GETPIVOTDATA(" Undergrad Contact Hour FTE - Old",'FTE Pivot for regular counts'!$A$2,"State","LA","Category2","Two-Year")</f>
        <v>0</v>
      </c>
      <c r="W141" s="33">
        <f>+GETPIVOTDATA(" Undergrad Contact Hour FTE - Old",'FTE Pivot for regular counts'!$A$2,"State","LA","Category","12","Category2","Technical")</f>
        <v>0</v>
      </c>
      <c r="X141" s="33">
        <f>+GETPIVOTDATA(" Undergrad Contact Hour FTE - Old",'FTE Pivot for regular counts'!$A$2,"State","LA","Category","13","Category2","Technical")</f>
        <v>24.097777777777779</v>
      </c>
      <c r="Y141" s="33">
        <f>+GETPIVOTDATA(" Undergrad Contact Hour FTE - Old",'FTE Pivot for regular counts'!$A$2,"State","LA","Category",14,"Category2","Technical")</f>
        <v>98.387222222222221</v>
      </c>
      <c r="Z141" s="33">
        <f>+GETPIVOTDATA(" Undergrad Contact Hour FTE - Old",'FTE Pivot for regular counts'!$A$2,"State","LA","Category2","Technical")</f>
        <v>122.485</v>
      </c>
    </row>
    <row r="142" spans="1:26" ht="15" customHeight="1">
      <c r="A142" s="1" t="s">
        <v>427</v>
      </c>
      <c r="B142" s="33">
        <f>+GETPIVOTDATA(" Undergrad Contact Hour FTE - New",'FTE Pivot for regular counts'!$A$2,"State","MD","Category","7","Category2","Two-Year")</f>
        <v>0</v>
      </c>
      <c r="C142" s="33">
        <f>+GETPIVOTDATA(" Undergrad Contact Hour FTE - New",'FTE Pivot for regular counts'!$A$2,"State","MD","Category","8","Category2","Two-Year")</f>
        <v>0</v>
      </c>
      <c r="D142" s="33">
        <f>+GETPIVOTDATA(" Undergrad Contact Hour FTE - New",'FTE Pivot for regular counts'!$A$2,"State","MD","Category","9","Category2","Two-Year")</f>
        <v>0</v>
      </c>
      <c r="E142" s="33">
        <f>+GETPIVOTDATA(" Undergrad Contact Hour FTE - New",'FTE Pivot for regular counts'!$A$2,"State","MD","Category","10","Category2","Two-Year")</f>
        <v>0</v>
      </c>
      <c r="F142" s="8">
        <f>+GETPIVOTDATA(" Undergrad Contact Hour FTE - New",'FTE Pivot for regular counts'!$A$2,"State","MD","Category2","Two-Year")</f>
        <v>0</v>
      </c>
      <c r="G142" s="33">
        <f>+GETPIVOTDATA(" Undergrad Contact Hour FTE - New",'FTE Pivot for regular counts'!$A$2,"State","MD","Category","12","Category2","Technical")</f>
        <v>0</v>
      </c>
      <c r="H142" s="131">
        <f>+GETPIVOTDATA(" Undergrad Contact Hour FTE - New",'FTE Pivot for regular counts'!$A$2,"State","MD","Category","13","Category2","Technical")</f>
        <v>0</v>
      </c>
      <c r="I142" s="33">
        <f>+GETPIVOTDATA(" Undergrad Contact Hour FTE - New",'FTE Pivot for regular counts'!$A$2,"State","MD","Category",14,"Category2","Technical")</f>
        <v>0</v>
      </c>
      <c r="J142" s="131">
        <f>+GETPIVOTDATA(" Undergrad Contact Hour FTE - New",'FTE Pivot for regular counts'!$A$2,"State","MD","Category2","Technical")</f>
        <v>0</v>
      </c>
      <c r="K142" s="131"/>
      <c r="L142" s="131"/>
      <c r="Q142" s="1" t="s">
        <v>427</v>
      </c>
      <c r="R142" s="33">
        <f>+GETPIVOTDATA(" Undergrad Contact Hour FTE - Old",'FTE Pivot for regular counts'!$A$2,"State","MD","Category","7","Category2","Two-Year")</f>
        <v>0</v>
      </c>
      <c r="S142" s="33">
        <f>+GETPIVOTDATA(" Undergrad Contact Hour FTE - Old",'FTE Pivot for regular counts'!$A$2,"State","MD","Category","8","Category2","Two-Year")</f>
        <v>0</v>
      </c>
      <c r="T142" s="33">
        <f>+GETPIVOTDATA(" Undergrad Contact Hour FTE - Old",'FTE Pivot for regular counts'!$A$2,"State","MD","Category","9","Category2","Two-Year")</f>
        <v>0</v>
      </c>
      <c r="U142" s="33">
        <f>+GETPIVOTDATA(" Undergrad Contact Hour FTE - Old",'FTE Pivot for regular counts'!$A$2,"State","MD","Category","10","Category2","Two-Year")</f>
        <v>0</v>
      </c>
      <c r="V142" s="8">
        <f>+GETPIVOTDATA(" Undergrad Contact Hour FTE - Old",'FTE Pivot for regular counts'!$A$2,"State","MD","Category2","Two-Year")</f>
        <v>0</v>
      </c>
      <c r="W142" s="33">
        <f>+GETPIVOTDATA(" Undergrad Contact Hour FTE - Old",'FTE Pivot for regular counts'!$A$2,"State","MD","Category","12","Category2","Technical")</f>
        <v>0</v>
      </c>
      <c r="X142" s="33">
        <f>+GETPIVOTDATA(" Undergrad Contact Hour FTE - Old",'FTE Pivot for regular counts'!$A$2,"State","MD","Category","13","Category2","Technical")</f>
        <v>0</v>
      </c>
      <c r="Y142" s="33">
        <f>+GETPIVOTDATA(" Undergrad Contact Hour FTE - Old",'FTE Pivot for regular counts'!$A$2,"State","MD","Category",14,"Category2","Technical")</f>
        <v>0</v>
      </c>
      <c r="Z142" s="33">
        <f>+GETPIVOTDATA(" Undergrad Contact Hour FTE - Old",'FTE Pivot for regular counts'!$A$2,"State","MD","Category2","Technical")</f>
        <v>0</v>
      </c>
    </row>
    <row r="143" spans="1:26" ht="15" customHeight="1">
      <c r="B143" s="33">
        <f>+GETPIVOTDATA(" Undergrad Contact Hour FTE - New",'FTE Pivot for regular counts'!$A$2,"State","AL","Category","7","Category2","Two-Year")</f>
        <v>0</v>
      </c>
      <c r="C143" s="33">
        <f>+GETPIVOTDATA(" Undergrad Contact Hour FTE - New",'FTE Pivot for regular counts'!$A$2,"State","AL","Category","8","Category2","Two-Year")</f>
        <v>0</v>
      </c>
      <c r="D143" s="33">
        <f>+GETPIVOTDATA(" Undergrad Contact Hour FTE - New",'FTE Pivot for regular counts'!$A$2,"State","AL","Category","9","Category2","Two-Year")</f>
        <v>0</v>
      </c>
      <c r="E143" s="33">
        <f>+GETPIVOTDATA(" Undergrad Contact Hour FTE - New",'FTE Pivot for regular counts'!$A$2,"State","AL","Category","10","Category2","Two-Year")</f>
        <v>0</v>
      </c>
      <c r="F143" s="8">
        <f>+GETPIVOTDATA(" Undergrad Contact Hour FTE - New",'FTE Pivot for regular counts'!$A$2,"State","AL","Category2","Two-Year")</f>
        <v>0</v>
      </c>
      <c r="G143" s="33">
        <f>+GETPIVOTDATA(" Undergrad Contact Hour FTE - New",'FTE Pivot for regular counts'!$A$2,"State","AL","Category","12","Category2","Technical")</f>
        <v>0</v>
      </c>
      <c r="H143" s="131">
        <f>+GETPIVOTDATA(" Undergrad Contact Hour FTE - New",'FTE Pivot for regular counts'!$A$2,"State","AL","Category","13","Category2","Technical")</f>
        <v>0</v>
      </c>
      <c r="I143" s="33">
        <f>+GETPIVOTDATA(" Undergrad Contact Hour FTE - New",'FTE Pivot for regular counts'!$A$2,"State","AL","Category",14,"Category2","Technical")</f>
        <v>0</v>
      </c>
      <c r="J143" s="131">
        <f>+GETPIVOTDATA(" Undergrad Contact Hour FTE - New",'FTE Pivot for regular counts'!$A$2,"State","AL","Category2","Technical")</f>
        <v>0</v>
      </c>
      <c r="K143" s="131"/>
      <c r="L143" s="131"/>
      <c r="R143" s="33">
        <f>+GETPIVOTDATA(" Undergrad Contact Hour FTE - Old",'FTE Pivot for regular counts'!$A$2,"State","AL","Category","7","Category2","Two-Year")</f>
        <v>0</v>
      </c>
      <c r="S143" s="33">
        <f>+GETPIVOTDATA(" Undergrad Contact Hour FTE - Old",'FTE Pivot for regular counts'!$A$2,"State","AL","Category","8","Category2","Two-Year")</f>
        <v>0</v>
      </c>
      <c r="T143" s="33">
        <f>+GETPIVOTDATA(" Undergrad Contact Hour FTE - Old",'FTE Pivot for regular counts'!$A$2,"State","AL","Category","9","Category2","Two-Year")</f>
        <v>0</v>
      </c>
      <c r="U143" s="33">
        <f>+GETPIVOTDATA(" Undergrad Contact Hour FTE - Old",'FTE Pivot for regular counts'!$A$2,"State","AL","Category","10","Category2","Two-Year")</f>
        <v>0</v>
      </c>
      <c r="V143" s="8">
        <f>+GETPIVOTDATA(" Undergrad Contact Hour FTE - Old",'FTE Pivot for regular counts'!$A$2,"State","AL","Category2","Two-Year")</f>
        <v>0</v>
      </c>
      <c r="W143" s="33">
        <f>+GETPIVOTDATA(" Undergrad Contact Hour FTE - Old",'FTE Pivot for regular counts'!$A$2,"State","AL","Category","12","Category2","Technical")</f>
        <v>0</v>
      </c>
      <c r="X143" s="33">
        <f>+GETPIVOTDATA(" Undergrad Contact Hour FTE - Old",'FTE Pivot for regular counts'!$A$2,"State","AL","Category","13","Category2","Technical")</f>
        <v>0</v>
      </c>
      <c r="Y143" s="33">
        <f>+GETPIVOTDATA(" Undergrad Contact Hour FTE - Old",'FTE Pivot for regular counts'!$A$2,"State","AL","Category",14,"Category2","Technical")</f>
        <v>0</v>
      </c>
      <c r="Z143" s="33">
        <f>+GETPIVOTDATA(" Undergrad Contact Hour FTE - Old",'FTE Pivot for regular counts'!$A$2,"State","AL","Category2","Technical")</f>
        <v>0</v>
      </c>
    </row>
    <row r="144" spans="1:26" ht="15" customHeight="1">
      <c r="A144" s="1" t="s">
        <v>428</v>
      </c>
      <c r="B144" s="33">
        <f>+GETPIVOTDATA(" Undergrad Contact Hour FTE - New",'FTE Pivot for regular counts'!$A$2,"State","MS","Category","7","Category2","Two-Year")</f>
        <v>0</v>
      </c>
      <c r="C144" s="33">
        <f>+GETPIVOTDATA(" Undergrad Contact Hour FTE - New",'FTE Pivot for regular counts'!$A$2,"State","MS","Category","8","Category2","Two-Year")</f>
        <v>0</v>
      </c>
      <c r="D144" s="33">
        <f>+GETPIVOTDATA(" Undergrad Contact Hour FTE - New",'FTE Pivot for regular counts'!$A$2,"State","MS","Category","9","Category2","Two-Year")</f>
        <v>0</v>
      </c>
      <c r="E144" s="33">
        <f>+GETPIVOTDATA(" Undergrad Contact Hour FTE - New",'FTE Pivot for regular counts'!$A$2,"State","MS","Category","10","Category2","Two-Year")</f>
        <v>0</v>
      </c>
      <c r="F144" s="8">
        <f>+GETPIVOTDATA(" Undergrad Contact Hour FTE - New",'FTE Pivot for regular counts'!$A$2,"State","MS","Category2","Two-Year")</f>
        <v>0</v>
      </c>
      <c r="G144" s="33">
        <f>+GETPIVOTDATA(" Undergrad Contact Hour FTE - New",'FTE Pivot for regular counts'!$A$2,"State","MS","Category","12","Category2","Technical")</f>
        <v>0</v>
      </c>
      <c r="H144" s="131">
        <f>+GETPIVOTDATA(" Undergrad Contact Hour FTE - New",'FTE Pivot for regular counts'!$A$2,"State","MS","Category","13","Category2","Technical")</f>
        <v>0</v>
      </c>
      <c r="I144" s="33">
        <f>+GETPIVOTDATA(" Undergrad Contact Hour FTE - New",'FTE Pivot for regular counts'!$A$2,"State","MS","Category",14,"Category2","Technical")</f>
        <v>0</v>
      </c>
      <c r="J144" s="131">
        <f>+GETPIVOTDATA(" Undergrad Contact Hour FTE - New",'FTE Pivot for regular counts'!$A$2,"State","MS","Category2","Technical")</f>
        <v>0</v>
      </c>
      <c r="K144" s="131"/>
      <c r="L144" s="131"/>
      <c r="Q144" s="1" t="s">
        <v>428</v>
      </c>
      <c r="R144" s="33">
        <f>+GETPIVOTDATA(" Undergrad Contact Hour FTE - Old",'FTE Pivot for regular counts'!$A$2,"State","MS","Category","7","Category2","Two-Year")</f>
        <v>0</v>
      </c>
      <c r="S144" s="33">
        <f>+GETPIVOTDATA(" Undergrad Contact Hour FTE - Old",'FTE Pivot for regular counts'!$A$2,"State","MS","Category","8","Category2","Two-Year")</f>
        <v>0</v>
      </c>
      <c r="T144" s="33">
        <f>+GETPIVOTDATA(" Undergrad Contact Hour FTE - Old",'FTE Pivot for regular counts'!$A$2,"State","MS","Category","9","Category2","Two-Year")</f>
        <v>0</v>
      </c>
      <c r="U144" s="33">
        <f>+GETPIVOTDATA(" Undergrad Contact Hour FTE - Old",'FTE Pivot for regular counts'!$A$2,"State","MS","Category","10","Category2","Two-Year")</f>
        <v>0</v>
      </c>
      <c r="V144" s="8">
        <f>+GETPIVOTDATA(" Undergrad Contact Hour FTE - Old",'FTE Pivot for regular counts'!$A$2,"State","MS","Category2","Two-Year")</f>
        <v>0</v>
      </c>
      <c r="W144" s="33">
        <f>+GETPIVOTDATA(" Undergrad Contact Hour FTE - Old",'FTE Pivot for regular counts'!$A$2,"State","MS","Category","12","Category2","Technical")</f>
        <v>0</v>
      </c>
      <c r="X144" s="33">
        <f>+GETPIVOTDATA(" Undergrad Contact Hour FTE - Old",'FTE Pivot for regular counts'!$A$2,"State","MS","Category","13","Category2","Technical")</f>
        <v>0</v>
      </c>
      <c r="Y144" s="33">
        <f>+GETPIVOTDATA(" Undergrad Contact Hour FTE - Old",'FTE Pivot for regular counts'!$A$2,"State","MS","Category",14,"Category2","Technical")</f>
        <v>0</v>
      </c>
      <c r="Z144" s="33">
        <f>+GETPIVOTDATA(" Undergrad Contact Hour FTE - Old",'FTE Pivot for regular counts'!$A$2,"State","MS","Category2","Technical")</f>
        <v>0</v>
      </c>
    </row>
    <row r="145" spans="1:62" ht="15" customHeight="1">
      <c r="A145" s="1" t="s">
        <v>429</v>
      </c>
      <c r="B145" s="33">
        <f>+GETPIVOTDATA(" Undergrad Contact Hour FTE - New",'FTE Pivot for regular counts'!$A$2,"State","NC","Category","7","Category2","Two-Year")</f>
        <v>0</v>
      </c>
      <c r="C145" s="33">
        <f>+GETPIVOTDATA(" Undergrad Contact Hour FTE - New",'FTE Pivot for regular counts'!$A$2,"State","NC","Category","8","Category2","Two-Year")</f>
        <v>0</v>
      </c>
      <c r="D145" s="33">
        <f>+GETPIVOTDATA(" Undergrad Contact Hour FTE - New",'FTE Pivot for regular counts'!$A$2,"State","NC","Category","9","Category2","Two-Year")</f>
        <v>0</v>
      </c>
      <c r="E145" s="33">
        <f>+GETPIVOTDATA(" Undergrad Contact Hour FTE - New",'FTE Pivot for regular counts'!$A$2,"State","NC","Category","10","Category2","Two-Year")</f>
        <v>0</v>
      </c>
      <c r="F145" s="8">
        <f>+GETPIVOTDATA(" Undergrad Contact Hour FTE - New",'FTE Pivot for regular counts'!$A$2,"State","NC","Category2","Two-Year")</f>
        <v>0</v>
      </c>
      <c r="G145" s="33">
        <f>+GETPIVOTDATA(" Undergrad Contact Hour FTE - New",'FTE Pivot for regular counts'!$A$2,"State","NC","Category","12","Category2","Technical")</f>
        <v>0</v>
      </c>
      <c r="H145" s="131">
        <f>+GETPIVOTDATA(" Undergrad Contact Hour FTE - New",'FTE Pivot for regular counts'!$A$2,"State","NC","Category","13","Category2","Technical")</f>
        <v>0</v>
      </c>
      <c r="I145" s="33">
        <f>+GETPIVOTDATA(" Undergrad Contact Hour FTE - New",'FTE Pivot for regular counts'!$A$2,"State","NC","Category",14,"Category2","Technical")</f>
        <v>0</v>
      </c>
      <c r="J145" s="131">
        <f>+GETPIVOTDATA(" Undergrad Contact Hour FTE - New",'FTE Pivot for regular counts'!$A$2,"State","NC","Category2","Technical")</f>
        <v>0</v>
      </c>
      <c r="K145" s="131"/>
      <c r="L145" s="131"/>
      <c r="Q145" s="1" t="s">
        <v>429</v>
      </c>
      <c r="R145" s="33">
        <f>+GETPIVOTDATA(" Undergrad Contact Hour FTE - Old",'FTE Pivot for regular counts'!$A$2,"State","NC","Category","7","Category2","Two-Year")</f>
        <v>0</v>
      </c>
      <c r="S145" s="33">
        <f>+GETPIVOTDATA(" Undergrad Contact Hour FTE - Old",'FTE Pivot for regular counts'!$A$2,"State","NC","Category","8","Category2","Two-Year")</f>
        <v>0</v>
      </c>
      <c r="T145" s="33">
        <f>+GETPIVOTDATA(" Undergrad Contact Hour FTE - Old",'FTE Pivot for regular counts'!$A$2,"State","NC","Category","9","Category2","Two-Year")</f>
        <v>0</v>
      </c>
      <c r="U145" s="33">
        <f>+GETPIVOTDATA(" Undergrad Contact Hour FTE - Old",'FTE Pivot for regular counts'!$A$2,"State","NC","Category","10","Category2","Two-Year")</f>
        <v>0</v>
      </c>
      <c r="V145" s="8">
        <f>+GETPIVOTDATA(" Undergrad Contact Hour FTE - Old",'FTE Pivot for regular counts'!$A$2,"State","NC","Category2","Two-Year")</f>
        <v>0</v>
      </c>
      <c r="W145" s="33">
        <f>+GETPIVOTDATA(" Undergrad Contact Hour FTE - Old",'FTE Pivot for regular counts'!$A$2,"State","NC","Category","12","Category2","Technical")</f>
        <v>0</v>
      </c>
      <c r="X145" s="33">
        <f>+GETPIVOTDATA(" Undergrad Contact Hour FTE - Old",'FTE Pivot for regular counts'!$A$2,"State","NC","Category","13","Category2","Technical")</f>
        <v>0</v>
      </c>
      <c r="Y145" s="33">
        <f>+GETPIVOTDATA(" Undergrad Contact Hour FTE - Old",'FTE Pivot for regular counts'!$A$2,"State","NC","Category",14,"Category2","Technical")</f>
        <v>0</v>
      </c>
      <c r="Z145" s="33">
        <f>+GETPIVOTDATA(" Undergrad Contact Hour FTE - Old",'FTE Pivot for regular counts'!$A$2,"State","NC","Category2","Technical")</f>
        <v>0</v>
      </c>
    </row>
    <row r="146" spans="1:62" ht="15" customHeight="1">
      <c r="A146" s="1" t="s">
        <v>430</v>
      </c>
      <c r="B146" s="33">
        <f>+GETPIVOTDATA(" Undergrad Contact Hour FTE - New",'FTE Pivot for regular counts'!$A$2,"State","OK","Category","7","Category2","Two-Year")</f>
        <v>0</v>
      </c>
      <c r="C146" s="33">
        <f>+GETPIVOTDATA(" Undergrad Contact Hour FTE - New",'FTE Pivot for regular counts'!$A$2,"State","OK","Category","8","Category2","Two-Year")</f>
        <v>0</v>
      </c>
      <c r="D146" s="33">
        <f>+GETPIVOTDATA(" Undergrad Contact Hour FTE - New",'FTE Pivot for regular counts'!$A$2,"State","OK","Category","9","Category2","Two-Year")</f>
        <v>0</v>
      </c>
      <c r="E146" s="33">
        <f>+GETPIVOTDATA(" Undergrad Contact Hour FTE - New",'FTE Pivot for regular counts'!$A$2,"State","OK","Category","10","Category2","Two-Year")</f>
        <v>0</v>
      </c>
      <c r="F146" s="8">
        <f>+GETPIVOTDATA(" Undergrad Contact Hour FTE - New",'FTE Pivot for regular counts'!$A$2,"State","OK","Category2","Two-Year")</f>
        <v>0</v>
      </c>
      <c r="G146" s="33">
        <f>+GETPIVOTDATA(" Undergrad Contact Hour FTE - New",'FTE Pivot for regular counts'!$A$2,"State","OK","Category","12","Category2","Technical")</f>
        <v>6009.1622222222222</v>
      </c>
      <c r="H146" s="131">
        <f>+GETPIVOTDATA(" Undergrad Contact Hour FTE - New",'FTE Pivot for regular counts'!$A$2,"State","OK","Category","13","Category2","Technical")</f>
        <v>19708.937611111109</v>
      </c>
      <c r="I146" s="33">
        <f>+GETPIVOTDATA(" Undergrad Contact Hour FTE - New",'FTE Pivot for regular counts'!$A$2,"State","OK","Category",14,"Category2","Technical")</f>
        <v>0</v>
      </c>
      <c r="J146" s="131">
        <f>+GETPIVOTDATA(" Undergrad Contact Hour FTE - New",'FTE Pivot for regular counts'!$A$2,"State","OK","Category2","Technical")</f>
        <v>25718.09983333333</v>
      </c>
      <c r="K146" s="131"/>
      <c r="L146" s="131"/>
      <c r="Q146" s="1" t="s">
        <v>430</v>
      </c>
      <c r="R146" s="33">
        <f>+GETPIVOTDATA(" Undergrad Contact Hour FTE - Old",'FTE Pivot for regular counts'!$A$2,"State","OK","Category","7","Category2","Two-Year")</f>
        <v>0</v>
      </c>
      <c r="S146" s="33">
        <f>+GETPIVOTDATA(" Undergrad Contact Hour FTE - Old",'FTE Pivot for regular counts'!$A$2,"State","OK","Category","8","Category2","Two-Year")</f>
        <v>0</v>
      </c>
      <c r="T146" s="33">
        <f>+GETPIVOTDATA(" Undergrad Contact Hour FTE - Old",'FTE Pivot for regular counts'!$A$2,"State","OK","Category","9","Category2","Two-Year")</f>
        <v>0</v>
      </c>
      <c r="U146" s="33">
        <f>+GETPIVOTDATA(" Undergrad Contact Hour FTE - Old",'FTE Pivot for regular counts'!$A$2,"State","OK","Category","10","Category2","Two-Year")</f>
        <v>0</v>
      </c>
      <c r="V146" s="8">
        <f>+GETPIVOTDATA(" Undergrad Contact Hour FTE - Old",'FTE Pivot for regular counts'!$A$2,"State","OK","Category2","Two-Year")</f>
        <v>0</v>
      </c>
      <c r="W146" s="33">
        <f>+GETPIVOTDATA(" Undergrad Contact Hour FTE - Old",'FTE Pivot for regular counts'!$A$2,"State","OK","Category","12","Category2","Technical")</f>
        <v>6795.3086222222237</v>
      </c>
      <c r="X146" s="33">
        <f>+GETPIVOTDATA(" Undergrad Contact Hour FTE - Old",'FTE Pivot for regular counts'!$A$2,"State","OK","Category","13","Category2","Technical")</f>
        <v>20184.214066666664</v>
      </c>
      <c r="Y146" s="33">
        <f>+GETPIVOTDATA(" Undergrad Contact Hour FTE - Old",'FTE Pivot for regular counts'!$A$2,"State","OK","Category",14,"Category2","Technical")</f>
        <v>0</v>
      </c>
      <c r="Z146" s="33">
        <f>+GETPIVOTDATA(" Undergrad Contact Hour FTE - Old",'FTE Pivot for regular counts'!$A$2,"State","OK","Category2","Technical")</f>
        <v>26979.522688888886</v>
      </c>
    </row>
    <row r="147" spans="1:62" ht="15" customHeight="1">
      <c r="A147" s="1" t="s">
        <v>431</v>
      </c>
      <c r="B147" s="33">
        <f>+GETPIVOTDATA(" Undergrad Contact Hour FTE - New",'FTE Pivot for regular counts'!$A$2,"State","SC","Category","7","Category2","Two-Year")</f>
        <v>0</v>
      </c>
      <c r="C147" s="33">
        <f>+GETPIVOTDATA(" Undergrad Contact Hour FTE - New",'FTE Pivot for regular counts'!$A$2,"State","SC","Category","8","Category2","Two-Year")</f>
        <v>0</v>
      </c>
      <c r="D147" s="33">
        <f>+GETPIVOTDATA(" Undergrad Contact Hour FTE - New",'FTE Pivot for regular counts'!$A$2,"State","SC","Category","9","Category2","Two-Year")</f>
        <v>0</v>
      </c>
      <c r="E147" s="33">
        <f>+GETPIVOTDATA(" Undergrad Contact Hour FTE - New",'FTE Pivot for regular counts'!$A$2,"State","SC","Category","10","Category2","Two-Year")</f>
        <v>0</v>
      </c>
      <c r="F147" s="8">
        <f>+GETPIVOTDATA(" Undergrad Contact Hour FTE - New",'FTE Pivot for regular counts'!$A$2,"State","SC","Category2","Two-Year")</f>
        <v>0</v>
      </c>
      <c r="G147" s="33">
        <f>+GETPIVOTDATA(" Undergrad Contact Hour FTE - New",'FTE Pivot for regular counts'!$A$2,"State","SC","Category","12","Category2","Technical")</f>
        <v>0</v>
      </c>
      <c r="H147" s="131">
        <f>+GETPIVOTDATA(" Undergrad Contact Hour FTE - New",'FTE Pivot for regular counts'!$A$2,"State","SC","Category","13","Category2","Technical")</f>
        <v>0</v>
      </c>
      <c r="I147" s="33">
        <f>+GETPIVOTDATA(" Undergrad Contact Hour FTE - New",'FTE Pivot for regular counts'!$A$2,"State","SC","Category",14,"Category2","Technical")</f>
        <v>0</v>
      </c>
      <c r="J147" s="131">
        <f>+GETPIVOTDATA(" Undergrad Contact Hour FTE - New",'FTE Pivot for regular counts'!$A$2,"State","SC","Category2","Technical")</f>
        <v>0</v>
      </c>
      <c r="K147" s="131"/>
      <c r="L147" s="131"/>
      <c r="Q147" s="1" t="s">
        <v>431</v>
      </c>
      <c r="R147" s="33">
        <f>+GETPIVOTDATA(" Undergrad Contact Hour FTE - Old",'FTE Pivot for regular counts'!$A$2,"State","SC","Category","7","Category2","Two-Year")</f>
        <v>0</v>
      </c>
      <c r="S147" s="33">
        <f>+GETPIVOTDATA(" Undergrad Contact Hour FTE - Old",'FTE Pivot for regular counts'!$A$2,"State","SC","Category","8","Category2","Two-Year")</f>
        <v>0</v>
      </c>
      <c r="T147" s="33">
        <f>+GETPIVOTDATA(" Undergrad Contact Hour FTE - Old",'FTE Pivot for regular counts'!$A$2,"State","SC","Category","9","Category2","Two-Year")</f>
        <v>0</v>
      </c>
      <c r="U147" s="33">
        <f>+GETPIVOTDATA(" Undergrad Contact Hour FTE - Old",'FTE Pivot for regular counts'!$A$2,"State","SC","Category","10","Category2","Two-Year")</f>
        <v>0</v>
      </c>
      <c r="V147" s="8">
        <f>+GETPIVOTDATA(" Undergrad Contact Hour FTE - Old",'FTE Pivot for regular counts'!$A$2,"State","SC","Category2","Two-Year")</f>
        <v>0</v>
      </c>
      <c r="W147" s="33">
        <f>+GETPIVOTDATA(" Undergrad Contact Hour FTE - Old",'FTE Pivot for regular counts'!$A$2,"State","SC","Category","12","Category2","Technical")</f>
        <v>0</v>
      </c>
      <c r="X147" s="33">
        <f>+GETPIVOTDATA(" Undergrad Contact Hour FTE - Old",'FTE Pivot for regular counts'!$A$2,"State","SC","Category","13","Category2","Technical")</f>
        <v>0</v>
      </c>
      <c r="Y147" s="33">
        <f>+GETPIVOTDATA(" Undergrad Contact Hour FTE - Old",'FTE Pivot for regular counts'!$A$2,"State","SC","Category",14,"Category2","Technical")</f>
        <v>0</v>
      </c>
      <c r="Z147" s="33">
        <f>+GETPIVOTDATA(" Undergrad Contact Hour FTE - Old",'FTE Pivot for regular counts'!$A$2,"State","SC","Category2","Technical")</f>
        <v>0</v>
      </c>
    </row>
    <row r="148" spans="1:62" ht="15" customHeight="1">
      <c r="B148" s="33">
        <f>+GETPIVOTDATA(" Undergrad Contact Hour FTE - New",'FTE Pivot for regular counts'!$A$2,"State","AL","Category","7","Category2","Two-Year")</f>
        <v>0</v>
      </c>
      <c r="C148" s="33">
        <f>+GETPIVOTDATA(" Undergrad Contact Hour FTE - New",'FTE Pivot for regular counts'!$A$2,"State","AL","Category","8","Category2","Two-Year")</f>
        <v>0</v>
      </c>
      <c r="D148" s="33">
        <f>+GETPIVOTDATA(" Undergrad Contact Hour FTE - New",'FTE Pivot for regular counts'!$A$2,"State","AL","Category","9","Category2","Two-Year")</f>
        <v>0</v>
      </c>
      <c r="E148" s="33">
        <f>+GETPIVOTDATA(" Undergrad Contact Hour FTE - New",'FTE Pivot for regular counts'!$A$2,"State","AL","Category","10","Category2","Two-Year")</f>
        <v>0</v>
      </c>
      <c r="F148" s="8">
        <f>+GETPIVOTDATA(" Undergrad Contact Hour FTE - New",'FTE Pivot for regular counts'!$A$2,"State","AL","Category2","Two-Year")</f>
        <v>0</v>
      </c>
      <c r="G148" s="33">
        <f>+GETPIVOTDATA(" Undergrad Contact Hour FTE - New",'FTE Pivot for regular counts'!$A$2,"State","AL","Category","12","Category2","Technical")</f>
        <v>0</v>
      </c>
      <c r="H148" s="131">
        <f>+GETPIVOTDATA(" Undergrad Contact Hour FTE - New",'FTE Pivot for regular counts'!$A$2,"State","AL","Category","13","Category2","Technical")</f>
        <v>0</v>
      </c>
      <c r="I148" s="33">
        <f>+GETPIVOTDATA(" Undergrad Contact Hour FTE - New",'FTE Pivot for regular counts'!$A$2,"State","AL","Category",14,"Category2","Technical")</f>
        <v>0</v>
      </c>
      <c r="J148" s="131">
        <f>+GETPIVOTDATA(" Undergrad Contact Hour FTE - New",'FTE Pivot for regular counts'!$A$2,"State","AL","Category2","Technical")</f>
        <v>0</v>
      </c>
      <c r="K148" s="131"/>
      <c r="L148" s="131"/>
      <c r="R148" s="33">
        <f>+GETPIVOTDATA(" Undergrad Contact Hour FTE - Old",'FTE Pivot for regular counts'!$A$2,"State","AL","Category","7","Category2","Two-Year")</f>
        <v>0</v>
      </c>
      <c r="S148" s="33">
        <f>+GETPIVOTDATA(" Undergrad Contact Hour FTE - Old",'FTE Pivot for regular counts'!$A$2,"State","AL","Category","8","Category2","Two-Year")</f>
        <v>0</v>
      </c>
      <c r="T148" s="33">
        <f>+GETPIVOTDATA(" Undergrad Contact Hour FTE - Old",'FTE Pivot for regular counts'!$A$2,"State","AL","Category","9","Category2","Two-Year")</f>
        <v>0</v>
      </c>
      <c r="U148" s="33">
        <f>+GETPIVOTDATA(" Undergrad Contact Hour FTE - Old",'FTE Pivot for regular counts'!$A$2,"State","AL","Category","10","Category2","Two-Year")</f>
        <v>0</v>
      </c>
      <c r="V148" s="8">
        <f>+GETPIVOTDATA(" Undergrad Contact Hour FTE - Old",'FTE Pivot for regular counts'!$A$2,"State","AL","Category2","Two-Year")</f>
        <v>0</v>
      </c>
      <c r="W148" s="33">
        <f>+GETPIVOTDATA(" Undergrad Contact Hour FTE - Old",'FTE Pivot for regular counts'!$A$2,"State","AL","Category","12","Category2","Technical")</f>
        <v>0</v>
      </c>
      <c r="X148" s="33">
        <f>+GETPIVOTDATA(" Undergrad Contact Hour FTE - Old",'FTE Pivot for regular counts'!$A$2,"State","AL","Category","13","Category2","Technical")</f>
        <v>0</v>
      </c>
      <c r="Y148" s="33">
        <f>+GETPIVOTDATA(" Undergrad Contact Hour FTE - Old",'FTE Pivot for regular counts'!$A$2,"State","AL","Category",14,"Category2","Technical")</f>
        <v>0</v>
      </c>
      <c r="Z148" s="33">
        <f>+GETPIVOTDATA(" Undergrad Contact Hour FTE - Old",'FTE Pivot for regular counts'!$A$2,"State","AL","Category2","Technical")</f>
        <v>0</v>
      </c>
    </row>
    <row r="149" spans="1:62" ht="15" customHeight="1">
      <c r="A149" s="1" t="s">
        <v>432</v>
      </c>
      <c r="B149" s="33">
        <f>+GETPIVOTDATA(" Undergrad Contact Hour FTE - New",'FTE Pivot for regular counts'!$A$2,"State","TN","Category","7","Category2","Two-Year")</f>
        <v>0</v>
      </c>
      <c r="C149" s="33">
        <f>+GETPIVOTDATA(" Undergrad Contact Hour FTE - New",'FTE Pivot for regular counts'!$A$2,"State","TN","Category","8","Category2","Two-Year")</f>
        <v>0</v>
      </c>
      <c r="D149" s="33">
        <f>+GETPIVOTDATA(" Undergrad Contact Hour FTE - New",'FTE Pivot for regular counts'!$A$2,"State","TN","Category","9","Category2","Two-Year")</f>
        <v>0</v>
      </c>
      <c r="E149" s="33">
        <f>+GETPIVOTDATA(" Undergrad Contact Hour FTE - New",'FTE Pivot for regular counts'!$A$2,"State","TN","Category","10","Category2","Two-Year")</f>
        <v>0</v>
      </c>
      <c r="F149" s="8">
        <f>+GETPIVOTDATA(" Undergrad Contact Hour FTE - New",'FTE Pivot for regular counts'!$A$2,"State","TN","Category2","Two-Year")</f>
        <v>0</v>
      </c>
      <c r="G149" s="33">
        <f>+GETPIVOTDATA(" Undergrad Contact Hour FTE - New",'FTE Pivot for regular counts'!$A$2,"State","TN","Category","12","Category2","Technical")</f>
        <v>0</v>
      </c>
      <c r="H149" s="131">
        <f>+GETPIVOTDATA(" Undergrad Contact Hour FTE - New",'FTE Pivot for regular counts'!$A$2,"State","TN","Category","13","Category2","Technical")</f>
        <v>12836.998888888886</v>
      </c>
      <c r="I149" s="33">
        <f>+GETPIVOTDATA(" Undergrad Contact Hour FTE - New",'FTE Pivot for regular counts'!$A$2,"State","TN","Category",14,"Category2","Technical")</f>
        <v>0</v>
      </c>
      <c r="J149" s="131">
        <f>+GETPIVOTDATA(" Undergrad Contact Hour FTE - New",'FTE Pivot for regular counts'!$A$2,"State","TN","Category2","Technical")</f>
        <v>12836.998888888886</v>
      </c>
      <c r="K149" s="131"/>
      <c r="L149" s="131"/>
      <c r="Q149" s="1" t="s">
        <v>432</v>
      </c>
      <c r="R149" s="33">
        <f>+GETPIVOTDATA(" Undergrad Contact Hour FTE - Old",'FTE Pivot for regular counts'!$A$2,"State","TN","Category","7","Category2","Two-Year")</f>
        <v>0</v>
      </c>
      <c r="S149" s="33">
        <f>+GETPIVOTDATA(" Undergrad Contact Hour FTE - Old",'FTE Pivot for regular counts'!$A$2,"State","TN","Category","8","Category2","Two-Year")</f>
        <v>0</v>
      </c>
      <c r="T149" s="33">
        <f>+GETPIVOTDATA(" Undergrad Contact Hour FTE - Old",'FTE Pivot for regular counts'!$A$2,"State","TN","Category","9","Category2","Two-Year")</f>
        <v>0</v>
      </c>
      <c r="U149" s="33">
        <f>+GETPIVOTDATA(" Undergrad Contact Hour FTE - Old",'FTE Pivot for regular counts'!$A$2,"State","TN","Category","10","Category2","Two-Year")</f>
        <v>0</v>
      </c>
      <c r="V149" s="8">
        <f>+GETPIVOTDATA(" Undergrad Contact Hour FTE - Old",'FTE Pivot for regular counts'!$A$2,"State","TN","Category2","Two-Year")</f>
        <v>0</v>
      </c>
      <c r="W149" s="33">
        <f>+GETPIVOTDATA(" Undergrad Contact Hour FTE - Old",'FTE Pivot for regular counts'!$A$2,"State","TN","Category","12","Category2","Technical")</f>
        <v>0</v>
      </c>
      <c r="X149" s="33">
        <f>+GETPIVOTDATA(" Undergrad Contact Hour FTE - Old",'FTE Pivot for regular counts'!$A$2,"State","TN","Category","13","Category2","Technical")</f>
        <v>11037.255555555552</v>
      </c>
      <c r="Y149" s="33">
        <f>+GETPIVOTDATA(" Undergrad Contact Hour FTE - Old",'FTE Pivot for regular counts'!$A$2,"State","TN","Category",14,"Category2","Technical")</f>
        <v>0</v>
      </c>
      <c r="Z149" s="33">
        <f>+GETPIVOTDATA(" Undergrad Contact Hour FTE - Old",'FTE Pivot for regular counts'!$A$2,"State","TN","Category2","Technical")</f>
        <v>11037.255555555552</v>
      </c>
    </row>
    <row r="150" spans="1:62" ht="15" customHeight="1">
      <c r="A150" s="1" t="s">
        <v>433</v>
      </c>
      <c r="B150" s="33">
        <f>+GETPIVOTDATA(" Undergrad Contact Hour FTE - New",'FTE Pivot for regular counts'!$A$2,"State","TX","Category","7","Category2","Two-Year")</f>
        <v>471.12666666666667</v>
      </c>
      <c r="C150" s="33">
        <f>+GETPIVOTDATA(" Undergrad Contact Hour FTE - New",'FTE Pivot for regular counts'!$A$2,"State","TX","Category","8","Category2","Two-Year")</f>
        <v>11150.355555555554</v>
      </c>
      <c r="D150" s="33">
        <f>+GETPIVOTDATA(" Undergrad Contact Hour FTE - New",'FTE Pivot for regular counts'!$A$2,"State","TX","Category","9","Category2","Two-Year")</f>
        <v>7683.2433333333329</v>
      </c>
      <c r="E150" s="33">
        <f>+GETPIVOTDATA(" Undergrad Contact Hour FTE - New",'FTE Pivot for regular counts'!$A$2,"State","TX","Category","10","Category2","Two-Year")</f>
        <v>977.92555555555555</v>
      </c>
      <c r="F150" s="8">
        <f>+GETPIVOTDATA(" Undergrad Contact Hour FTE - New",'FTE Pivot for regular counts'!$A$2,"State","TX","Category2","Two-Year")</f>
        <v>20282.65111111111</v>
      </c>
      <c r="G150" s="33">
        <f>+GETPIVOTDATA(" Undergrad Contact Hour FTE - New",'FTE Pivot for regular counts'!$A$2,"State","TX","Category","12","Category2","Technical")</f>
        <v>0</v>
      </c>
      <c r="H150" s="131">
        <f>+GETPIVOTDATA(" Undergrad Contact Hour FTE - New",'FTE Pivot for regular counts'!$A$2,"State","TX","Category","13","Category2","Technical")</f>
        <v>0</v>
      </c>
      <c r="I150" s="33">
        <f>+GETPIVOTDATA(" Undergrad Contact Hour FTE - New",'FTE Pivot for regular counts'!$A$2,"State","TX","Category",14,"Category2","Technical")</f>
        <v>0</v>
      </c>
      <c r="J150" s="131">
        <f>+GETPIVOTDATA(" Undergrad Contact Hour FTE - New",'FTE Pivot for regular counts'!$A$2,"State","TX","Category2","Technical")</f>
        <v>0</v>
      </c>
      <c r="K150" s="131"/>
      <c r="L150" s="131"/>
      <c r="Q150" s="1" t="s">
        <v>433</v>
      </c>
      <c r="R150" s="33">
        <f>+GETPIVOTDATA(" Undergrad Contact Hour FTE - Old",'FTE Pivot for regular counts'!$A$2,"State","TX","Category","7","Category2","Two-Year")</f>
        <v>432.57111111111112</v>
      </c>
      <c r="S150" s="33">
        <f>+GETPIVOTDATA(" Undergrad Contact Hour FTE - Old",'FTE Pivot for regular counts'!$A$2,"State","TX","Category","8","Category2","Two-Year")</f>
        <v>11184.095555555557</v>
      </c>
      <c r="T150" s="33">
        <f>+GETPIVOTDATA(" Undergrad Contact Hour FTE - Old",'FTE Pivot for regular counts'!$A$2,"State","TX","Category","9","Category2","Two-Year")</f>
        <v>7365.1255555555545</v>
      </c>
      <c r="U150" s="33">
        <f>+GETPIVOTDATA(" Undergrad Contact Hour FTE - Old",'FTE Pivot for regular counts'!$A$2,"State","TX","Category","10","Category2","Two-Year")</f>
        <v>1154.8200000000002</v>
      </c>
      <c r="V150" s="8">
        <f>+GETPIVOTDATA(" Undergrad Contact Hour FTE - Old",'FTE Pivot for regular counts'!$A$2,"State","TX","Category2","Two-Year")</f>
        <v>20136.612222222222</v>
      </c>
      <c r="W150" s="33">
        <f>+GETPIVOTDATA(" Undergrad Contact Hour FTE - Old",'FTE Pivot for regular counts'!$A$2,"State","TX","Category","12","Category2","Technical")</f>
        <v>0</v>
      </c>
      <c r="X150" s="33">
        <f>+GETPIVOTDATA(" Undergrad Contact Hour FTE - Old",'FTE Pivot for regular counts'!$A$2,"State","TX","Category","13","Category2","Technical")</f>
        <v>0</v>
      </c>
      <c r="Y150" s="33">
        <f>+GETPIVOTDATA(" Undergrad Contact Hour FTE - Old",'FTE Pivot for regular counts'!$A$2,"State","TX","Category",14,"Category2","Technical")</f>
        <v>0</v>
      </c>
      <c r="Z150" s="33">
        <f>+GETPIVOTDATA(" Undergrad Contact Hour FTE - Old",'FTE Pivot for regular counts'!$A$2,"State","TX","Category2","Technical")</f>
        <v>0</v>
      </c>
    </row>
    <row r="151" spans="1:62" ht="15" customHeight="1">
      <c r="A151" s="1" t="s">
        <v>434</v>
      </c>
      <c r="B151" s="33">
        <f>+GETPIVOTDATA(" Undergrad Contact Hour FTE - New",'FTE Pivot for regular counts'!$A$2,"State","VA","Category","7","Category2","Two-Year")</f>
        <v>0</v>
      </c>
      <c r="C151" s="33">
        <f>+GETPIVOTDATA(" Undergrad Contact Hour FTE - New",'FTE Pivot for regular counts'!$A$2,"State","VA","Category","8","Category2","Two-Year")</f>
        <v>0</v>
      </c>
      <c r="D151" s="33">
        <f>+GETPIVOTDATA(" Undergrad Contact Hour FTE - New",'FTE Pivot for regular counts'!$A$2,"State","VA","Category","9","Category2","Two-Year")</f>
        <v>0</v>
      </c>
      <c r="E151" s="33">
        <f>+GETPIVOTDATA(" Undergrad Contact Hour FTE - New",'FTE Pivot for regular counts'!$A$2,"State","VA","Category","10","Category2","Two-Year")</f>
        <v>0</v>
      </c>
      <c r="F151" s="8">
        <f>+GETPIVOTDATA(" Undergrad Contact Hour FTE - New",'FTE Pivot for regular counts'!$A$2,"State","VA","Category2","Two-Year")</f>
        <v>0</v>
      </c>
      <c r="G151" s="33">
        <f>+GETPIVOTDATA(" Undergrad Contact Hour FTE - New",'FTE Pivot for regular counts'!$A$2,"State","VA","Category","12","Category2","Technical")</f>
        <v>0</v>
      </c>
      <c r="H151" s="131">
        <f>+GETPIVOTDATA(" Undergrad Contact Hour FTE - New",'FTE Pivot for regular counts'!$A$2,"State","VA","Category","13","Category2","Technical")</f>
        <v>0</v>
      </c>
      <c r="I151" s="33">
        <f>+GETPIVOTDATA(" Undergrad Contact Hour FTE - New",'FTE Pivot for regular counts'!$A$2,"State","VA","Category",14,"Category2","Technical")</f>
        <v>0</v>
      </c>
      <c r="J151" s="131">
        <f>+GETPIVOTDATA(" Undergrad Contact Hour FTE - New",'FTE Pivot for regular counts'!$A$2,"State","VA","Category2","Technical")</f>
        <v>0</v>
      </c>
      <c r="K151" s="131"/>
      <c r="L151" s="131"/>
      <c r="Q151" s="1" t="s">
        <v>434</v>
      </c>
      <c r="R151" s="33">
        <f>+GETPIVOTDATA(" Undergrad Contact Hour FTE - Old",'FTE Pivot for regular counts'!$A$2,"State","VA","Category","7","Category2","Two-Year")</f>
        <v>0</v>
      </c>
      <c r="S151" s="33">
        <f>+GETPIVOTDATA(" Undergrad Contact Hour FTE - Old",'FTE Pivot for regular counts'!$A$2,"State","VA","Category","8","Category2","Two-Year")</f>
        <v>0</v>
      </c>
      <c r="T151" s="33">
        <f>+GETPIVOTDATA(" Undergrad Contact Hour FTE - Old",'FTE Pivot for regular counts'!$A$2,"State","VA","Category","9","Category2","Two-Year")</f>
        <v>0</v>
      </c>
      <c r="U151" s="33">
        <f>+GETPIVOTDATA(" Undergrad Contact Hour FTE - Old",'FTE Pivot for regular counts'!$A$2,"State","VA","Category","10","Category2","Two-Year")</f>
        <v>0</v>
      </c>
      <c r="V151" s="8">
        <f>+GETPIVOTDATA(" Undergrad Contact Hour FTE - Old",'FTE Pivot for regular counts'!$A$2,"State","VA","Category2","Two-Year")</f>
        <v>0</v>
      </c>
      <c r="W151" s="33">
        <f>+GETPIVOTDATA(" Undergrad Contact Hour FTE - Old",'FTE Pivot for regular counts'!$A$2,"State","VA","Category","12","Category2","Technical")</f>
        <v>0</v>
      </c>
      <c r="X151" s="33">
        <f>+GETPIVOTDATA(" Undergrad Contact Hour FTE - Old",'FTE Pivot for regular counts'!$A$2,"State","VA","Category","13","Category2","Technical")</f>
        <v>0</v>
      </c>
      <c r="Y151" s="33">
        <f>+GETPIVOTDATA(" Undergrad Contact Hour FTE - Old",'FTE Pivot for regular counts'!$A$2,"State","VA","Category",14,"Category2","Technical")</f>
        <v>0</v>
      </c>
      <c r="Z151" s="33">
        <f>+GETPIVOTDATA(" Undergrad Contact Hour FTE - Old",'FTE Pivot for regular counts'!$A$2,"State","VA","Category2","Technical")</f>
        <v>0</v>
      </c>
    </row>
    <row r="152" spans="1:62" ht="15" customHeight="1">
      <c r="A152" s="3" t="s">
        <v>435</v>
      </c>
      <c r="B152" s="9">
        <f>+GETPIVOTDATA(" Undergrad Contact Hour FTE - New",'FTE Pivot for regular counts'!$A$2,"State","WV","Category","7","Category2","Two-Year")</f>
        <v>0</v>
      </c>
      <c r="C152" s="9">
        <f>+GETPIVOTDATA(" Undergrad Contact Hour FTE - New",'FTE Pivot for regular counts'!$A$2,"State","WV","Category","8","Category2","Two-Year")</f>
        <v>0</v>
      </c>
      <c r="D152" s="9">
        <f>+GETPIVOTDATA(" Undergrad Contact Hour FTE - New",'FTE Pivot for regular counts'!$A$2,"State","WV","Category","9","Category2","Two-Year")</f>
        <v>0</v>
      </c>
      <c r="E152" s="9">
        <f>+GETPIVOTDATA(" Undergrad Contact Hour FTE - New",'FTE Pivot for regular counts'!$A$2,"State","WV","Category","10","Category2","Two-Year")</f>
        <v>0</v>
      </c>
      <c r="F152" s="10">
        <f>+GETPIVOTDATA(" Undergrad Contact Hour FTE - New",'FTE Pivot for regular counts'!$A$2,"State","WV","Category2","Two-Year")</f>
        <v>0</v>
      </c>
      <c r="G152" s="9">
        <f>+GETPIVOTDATA(" Undergrad Contact Hour FTE - New",'FTE Pivot for regular counts'!$A$2,"State","WV","Category","12","Category2","Technical")</f>
        <v>0</v>
      </c>
      <c r="H152" s="132">
        <f>+GETPIVOTDATA(" Undergrad Contact Hour FTE - New",'FTE Pivot for regular counts'!$A$2,"State","WV","Category","13","Category2","Technical")</f>
        <v>0</v>
      </c>
      <c r="I152" s="9">
        <f>+GETPIVOTDATA(" Undergrad Contact Hour FTE - New",'FTE Pivot for regular counts'!$A$2,"State","WV","Category",14,"Category2","Technical")</f>
        <v>0</v>
      </c>
      <c r="J152" s="132">
        <f>+GETPIVOTDATA(" Undergrad Contact Hour FTE - New",'FTE Pivot for regular counts'!$A$2,"State","WV","Category2","Technical")</f>
        <v>0</v>
      </c>
      <c r="K152" s="131"/>
      <c r="L152" s="131"/>
      <c r="Q152" s="3" t="s">
        <v>435</v>
      </c>
      <c r="R152" s="9">
        <f>+GETPIVOTDATA(" Undergrad Contact Hour FTE - Old",'FTE Pivot for regular counts'!$A$2,"State","WV","Category","7","Category2","Two-Year")</f>
        <v>0</v>
      </c>
      <c r="S152" s="9">
        <f>+GETPIVOTDATA(" Undergrad Contact Hour FTE - Old",'FTE Pivot for regular counts'!$A$2,"State","WV","Category","8","Category2","Two-Year")</f>
        <v>0</v>
      </c>
      <c r="T152" s="9">
        <f>+GETPIVOTDATA(" Undergrad Contact Hour FTE - Old",'FTE Pivot for regular counts'!$A$2,"State","WV","Category","9","Category2","Two-Year")</f>
        <v>0</v>
      </c>
      <c r="U152" s="9">
        <f>+GETPIVOTDATA(" Undergrad Contact Hour FTE - Old",'FTE Pivot for regular counts'!$A$2,"State","WV","Category","10","Category2","Two-Year")</f>
        <v>0</v>
      </c>
      <c r="V152" s="10">
        <f>+GETPIVOTDATA(" Undergrad Contact Hour FTE - Old",'FTE Pivot for regular counts'!$A$2,"State","WV","Category2","Two-Year")</f>
        <v>0</v>
      </c>
      <c r="W152" s="9">
        <f>+GETPIVOTDATA(" Undergrad Contact Hour FTE - Old",'FTE Pivot for regular counts'!$A$2,"State","WV","Category","12","Category2","Technical")</f>
        <v>0</v>
      </c>
      <c r="X152" s="9">
        <f>+GETPIVOTDATA(" Undergrad Contact Hour FTE - Old",'FTE Pivot for regular counts'!$A$2,"State","WV","Category","13","Category2","Technical")</f>
        <v>0</v>
      </c>
      <c r="Y152" s="9">
        <f>+GETPIVOTDATA(" Undergrad Contact Hour FTE - Old",'FTE Pivot for regular counts'!$A$2,"State","WV","Category",14,"Category2","Technical")</f>
        <v>0</v>
      </c>
      <c r="Z152" s="9">
        <f>+GETPIVOTDATA(" Undergrad Contact Hour FTE - Old",'FTE Pivot for regular counts'!$A$2,"State","WV","Category2","Technical")</f>
        <v>0</v>
      </c>
    </row>
    <row r="153" spans="1:62" s="25" customFormat="1" ht="9.9499999999999993" customHeight="1">
      <c r="A153" s="77"/>
      <c r="B153" s="16"/>
      <c r="C153" s="16"/>
      <c r="D153" s="16"/>
      <c r="E153" s="16"/>
      <c r="F153" s="16"/>
      <c r="G153" s="16"/>
      <c r="H153" s="121"/>
      <c r="I153" s="16"/>
      <c r="J153" s="121"/>
      <c r="K153" s="115"/>
      <c r="L153" s="115"/>
    </row>
    <row r="154" spans="1:62" ht="34.5" customHeight="1">
      <c r="A154" s="793" t="s">
        <v>79</v>
      </c>
      <c r="B154" s="793"/>
      <c r="C154" s="793"/>
      <c r="D154" s="793"/>
      <c r="E154" s="793"/>
      <c r="F154" s="793"/>
      <c r="G154" s="793"/>
      <c r="H154" s="793"/>
      <c r="I154" s="793"/>
      <c r="J154" s="793"/>
      <c r="K154" s="301"/>
      <c r="L154" s="301"/>
      <c r="M154" s="1"/>
    </row>
    <row r="155" spans="1:62">
      <c r="J155" s="307" t="s">
        <v>876</v>
      </c>
      <c r="K155" s="307"/>
      <c r="L155" s="307"/>
      <c r="M155" s="1"/>
    </row>
    <row r="156" spans="1:62" s="4" customFormat="1" ht="18">
      <c r="A156" s="127" t="s">
        <v>927</v>
      </c>
      <c r="B156" s="127"/>
      <c r="C156" s="127"/>
      <c r="D156" s="127"/>
      <c r="E156" s="127"/>
      <c r="F156" s="127"/>
      <c r="G156" s="127"/>
      <c r="H156" s="127"/>
      <c r="I156" s="127"/>
      <c r="J156" s="127"/>
      <c r="K156" s="127"/>
      <c r="L156" s="315"/>
      <c r="AD156" s="391" t="s">
        <v>820</v>
      </c>
      <c r="AE156" s="190"/>
      <c r="AF156" s="190"/>
      <c r="AG156" s="190"/>
      <c r="AH156" s="190"/>
      <c r="AJ156" s="112"/>
      <c r="AK156" s="407" t="s">
        <v>391</v>
      </c>
      <c r="AL156" s="112"/>
      <c r="AM156" s="112"/>
      <c r="AN156" s="112"/>
      <c r="AO156" s="112"/>
      <c r="AP156" s="112"/>
      <c r="AQ156" s="112"/>
      <c r="AV156" s="112"/>
      <c r="AW156" s="112"/>
      <c r="AX156" s="112"/>
      <c r="AY156" s="112"/>
      <c r="AZ156" s="407" t="s">
        <v>391</v>
      </c>
      <c r="BA156" s="112"/>
      <c r="BB156" s="112"/>
      <c r="BC156" s="112"/>
      <c r="BD156" s="112"/>
      <c r="BE156" s="112"/>
      <c r="BF156" s="112"/>
      <c r="BG156" s="1"/>
      <c r="BH156" s="1"/>
      <c r="BI156" s="1"/>
      <c r="BJ156" s="1"/>
    </row>
    <row r="157" spans="1:62" ht="12" customHeight="1">
      <c r="A157" s="21"/>
      <c r="B157" s="21"/>
      <c r="C157" s="21"/>
      <c r="D157" s="21"/>
      <c r="E157" s="21"/>
      <c r="F157" s="21"/>
      <c r="G157" s="21"/>
      <c r="H157" s="117"/>
      <c r="I157" s="21"/>
      <c r="J157" s="117"/>
      <c r="K157" s="117"/>
      <c r="L157" s="117"/>
      <c r="M157" s="1"/>
      <c r="AC157" s="190"/>
      <c r="AD157" s="139" t="s">
        <v>390</v>
      </c>
      <c r="AE157" s="190"/>
      <c r="AF157" s="190"/>
      <c r="AG157" s="190"/>
      <c r="AH157" s="190"/>
      <c r="AI157" s="190"/>
      <c r="AJ157" s="112"/>
      <c r="AK157" s="178" t="s">
        <v>620</v>
      </c>
      <c r="AL157" s="112"/>
      <c r="AM157" s="112"/>
      <c r="AN157" s="112"/>
      <c r="AO157" s="112"/>
      <c r="AP157" s="112"/>
      <c r="AQ157" s="112"/>
      <c r="AV157" s="112"/>
      <c r="AW157" s="112"/>
      <c r="AX157" s="112"/>
      <c r="AY157" s="112"/>
      <c r="AZ157" s="178" t="s">
        <v>390</v>
      </c>
      <c r="BA157" s="112"/>
      <c r="BB157" s="112"/>
      <c r="BC157" s="112"/>
      <c r="BD157" s="112"/>
      <c r="BE157" s="112"/>
      <c r="BF157" s="112"/>
    </row>
    <row r="158" spans="1:62" ht="15.75">
      <c r="A158" s="44" t="s">
        <v>388</v>
      </c>
      <c r="B158" s="44"/>
      <c r="C158" s="44"/>
      <c r="D158" s="44"/>
      <c r="E158" s="44"/>
      <c r="F158" s="44"/>
      <c r="G158" s="44"/>
      <c r="H158" s="44"/>
      <c r="I158" s="44"/>
      <c r="J158" s="44"/>
      <c r="K158" s="44"/>
      <c r="L158" s="176"/>
      <c r="M158" s="1"/>
      <c r="AC158" s="190"/>
      <c r="AD158" s="190"/>
      <c r="AE158" s="190"/>
      <c r="AF158" s="190"/>
      <c r="AG158" s="190"/>
      <c r="AH158" s="190"/>
      <c r="AI158" s="190"/>
      <c r="AJ158" s="112"/>
      <c r="AK158" s="112"/>
      <c r="AL158" s="112"/>
      <c r="AM158" s="112"/>
      <c r="AN158" s="112"/>
      <c r="AO158" s="112"/>
      <c r="AP158" s="112"/>
      <c r="AQ158" s="112"/>
      <c r="AV158" s="112"/>
      <c r="AW158" s="112"/>
      <c r="AX158" s="112"/>
      <c r="AY158" s="112"/>
      <c r="AZ158" s="112"/>
      <c r="BA158" s="112"/>
      <c r="BB158" s="112"/>
      <c r="BC158" s="112"/>
      <c r="BD158" s="112"/>
      <c r="BE158" s="112"/>
      <c r="BF158" s="112"/>
    </row>
    <row r="159" spans="1:62" ht="15.75">
      <c r="A159" s="44" t="s">
        <v>873</v>
      </c>
      <c r="B159" s="44"/>
      <c r="C159" s="44"/>
      <c r="D159" s="44"/>
      <c r="E159" s="44"/>
      <c r="F159" s="44"/>
      <c r="G159" s="44"/>
      <c r="H159" s="44"/>
      <c r="I159" s="44"/>
      <c r="J159" s="44"/>
      <c r="K159" s="44"/>
      <c r="L159" s="176"/>
      <c r="M159" s="344"/>
      <c r="Q159" s="139" t="s">
        <v>390</v>
      </c>
      <c r="AC159" s="190"/>
      <c r="AD159" s="137" t="s">
        <v>391</v>
      </c>
      <c r="AE159" s="190"/>
      <c r="AF159" s="190"/>
      <c r="AG159" s="190"/>
      <c r="AH159" s="190"/>
      <c r="AI159" s="190"/>
      <c r="AJ159" s="112"/>
      <c r="AK159" s="177"/>
      <c r="AL159" s="112"/>
      <c r="AM159" s="112"/>
      <c r="AN159" s="112"/>
      <c r="AO159" s="112"/>
      <c r="AP159" s="112"/>
      <c r="AQ159" s="112"/>
      <c r="AV159" s="112"/>
      <c r="AW159" s="112"/>
      <c r="AX159" s="112"/>
      <c r="AY159" s="112"/>
      <c r="AZ159" s="177"/>
      <c r="BA159" s="112"/>
      <c r="BB159" s="112"/>
      <c r="BC159" s="112"/>
      <c r="BD159" s="112"/>
      <c r="BE159" s="112"/>
      <c r="BF159" s="112"/>
    </row>
    <row r="160" spans="1:62">
      <c r="B160" s="2"/>
      <c r="C160" s="2"/>
      <c r="D160" s="2"/>
      <c r="E160" s="309"/>
      <c r="F160" s="2"/>
      <c r="G160" s="309"/>
      <c r="H160" s="351"/>
      <c r="I160" s="309"/>
      <c r="J160" s="351"/>
      <c r="K160" s="351"/>
      <c r="L160" s="351"/>
      <c r="M160" s="351"/>
      <c r="N160" s="3"/>
      <c r="O160" s="3"/>
      <c r="P160" s="3"/>
      <c r="Q160" s="408" t="s">
        <v>825</v>
      </c>
      <c r="R160" s="3"/>
      <c r="S160" s="3"/>
      <c r="T160" s="3"/>
      <c r="U160" s="3"/>
      <c r="V160" s="3"/>
      <c r="W160" s="3"/>
      <c r="X160" s="3"/>
      <c r="Y160" s="3"/>
      <c r="Z160" s="3"/>
      <c r="AA160" s="3"/>
      <c r="AC160" s="190"/>
      <c r="AD160" s="191" t="s">
        <v>419</v>
      </c>
      <c r="AE160" s="191"/>
      <c r="AF160" s="192"/>
      <c r="AG160" s="192"/>
      <c r="AH160" s="192"/>
      <c r="AI160" s="190"/>
      <c r="AJ160" s="112"/>
      <c r="AK160" s="179" t="s">
        <v>419</v>
      </c>
      <c r="AL160" s="179"/>
      <c r="AM160" s="180"/>
      <c r="AN160" s="180"/>
      <c r="AO160" s="180"/>
      <c r="AP160" s="180"/>
      <c r="AY160" s="112"/>
      <c r="AZ160" s="179" t="s">
        <v>419</v>
      </c>
      <c r="BA160" s="179"/>
      <c r="BB160" s="180"/>
      <c r="BC160" s="180"/>
      <c r="BD160" s="180"/>
      <c r="BE160" s="180"/>
    </row>
    <row r="161" spans="1:62" ht="15" customHeight="1">
      <c r="A161" s="46"/>
      <c r="B161" s="392" t="s">
        <v>501</v>
      </c>
      <c r="C161" s="66"/>
      <c r="D161" s="310">
        <v>1</v>
      </c>
      <c r="F161" s="355">
        <v>2</v>
      </c>
      <c r="H161" s="355">
        <v>3</v>
      </c>
      <c r="J161" s="355" t="s">
        <v>382</v>
      </c>
      <c r="K161" s="353"/>
      <c r="R161" s="25" t="s">
        <v>828</v>
      </c>
      <c r="S161" s="25"/>
      <c r="T161" s="409" t="s">
        <v>826</v>
      </c>
      <c r="U161" s="25"/>
      <c r="V161" s="409">
        <v>2</v>
      </c>
      <c r="W161" s="25"/>
      <c r="X161" s="409">
        <v>3</v>
      </c>
      <c r="Y161" s="25"/>
      <c r="Z161" s="409" t="s">
        <v>10</v>
      </c>
      <c r="AA161" s="25"/>
      <c r="AC161" s="190"/>
      <c r="AD161" s="197" t="s">
        <v>501</v>
      </c>
      <c r="AE161" s="198">
        <v>1</v>
      </c>
      <c r="AF161" s="198">
        <v>2</v>
      </c>
      <c r="AG161" s="198">
        <v>3</v>
      </c>
      <c r="AH161" s="198" t="s">
        <v>382</v>
      </c>
      <c r="AJ161" s="112"/>
      <c r="AK161" s="185" t="s">
        <v>501</v>
      </c>
      <c r="AL161" s="186">
        <v>1</v>
      </c>
      <c r="AM161" s="186">
        <v>2</v>
      </c>
      <c r="AN161" s="186">
        <v>3</v>
      </c>
      <c r="AO161" s="185" t="s">
        <v>379</v>
      </c>
      <c r="AP161" s="186" t="s">
        <v>382</v>
      </c>
      <c r="AY161" s="112"/>
      <c r="AZ161" s="185" t="s">
        <v>501</v>
      </c>
      <c r="BA161" s="186">
        <v>1</v>
      </c>
      <c r="BB161" s="186">
        <v>2</v>
      </c>
      <c r="BC161" s="186">
        <v>3</v>
      </c>
      <c r="BD161" s="185" t="s">
        <v>379</v>
      </c>
      <c r="BE161" s="186" t="s">
        <v>382</v>
      </c>
    </row>
    <row r="162" spans="1:62" ht="75.75" customHeight="1">
      <c r="A162" s="352"/>
      <c r="B162" s="353" t="s">
        <v>605</v>
      </c>
      <c r="C162" s="304" t="s">
        <v>72</v>
      </c>
      <c r="D162" s="354" t="s">
        <v>605</v>
      </c>
      <c r="E162" s="304" t="s">
        <v>72</v>
      </c>
      <c r="F162" s="354" t="s">
        <v>605</v>
      </c>
      <c r="G162" s="304" t="s">
        <v>72</v>
      </c>
      <c r="H162" s="354" t="s">
        <v>605</v>
      </c>
      <c r="I162" s="304" t="s">
        <v>72</v>
      </c>
      <c r="J162" s="354" t="s">
        <v>605</v>
      </c>
      <c r="K162" s="304" t="s">
        <v>72</v>
      </c>
      <c r="Q162" s="3"/>
      <c r="R162" s="398" t="s">
        <v>30</v>
      </c>
      <c r="S162" s="398" t="s">
        <v>32</v>
      </c>
      <c r="T162" s="400" t="s">
        <v>30</v>
      </c>
      <c r="U162" s="398" t="s">
        <v>32</v>
      </c>
      <c r="V162" s="400" t="s">
        <v>30</v>
      </c>
      <c r="W162" s="398" t="s">
        <v>32</v>
      </c>
      <c r="X162" s="400" t="s">
        <v>30</v>
      </c>
      <c r="Y162" s="398" t="s">
        <v>32</v>
      </c>
      <c r="Z162" s="400" t="s">
        <v>30</v>
      </c>
      <c r="AA162" s="398" t="s">
        <v>32</v>
      </c>
      <c r="AC162" s="190"/>
      <c r="AD162" s="347"/>
      <c r="AE162" s="348"/>
      <c r="AF162" s="348"/>
      <c r="AG162" s="348"/>
      <c r="AH162" s="348"/>
      <c r="AJ162" s="112"/>
      <c r="AK162" s="349"/>
      <c r="AL162" s="350"/>
      <c r="AM162" s="350"/>
      <c r="AN162" s="350"/>
      <c r="AO162" s="349"/>
      <c r="AP162" s="350"/>
      <c r="AY162" s="112"/>
      <c r="AZ162" s="349"/>
      <c r="BA162" s="350"/>
      <c r="BB162" s="350"/>
      <c r="BC162" s="350"/>
      <c r="BD162" s="349"/>
      <c r="BE162" s="350"/>
    </row>
    <row r="163" spans="1:62">
      <c r="A163" s="1" t="s">
        <v>420</v>
      </c>
      <c r="B163" s="7">
        <f>+'NEW-Tables 80-86'!B101+'NEW-Tables 80-86'!B132</f>
        <v>135555.44111111111</v>
      </c>
      <c r="D163" s="311">
        <f>+'NEW-Tables 80-86'!C101+'NEW-Tables 80-86'!C132</f>
        <v>947539.01222222229</v>
      </c>
      <c r="F163" s="311">
        <f>+'NEW-Tables 80-86'!D101+'NEW-Tables 80-86'!D132</f>
        <v>563981.65333333344</v>
      </c>
      <c r="H163" s="313">
        <f>+'NEW-Tables 80-86'!E101+'NEW-Tables 80-86'!E132</f>
        <v>164156.08944444446</v>
      </c>
      <c r="J163" s="311">
        <f>+'NEW-Tables 80-86'!F101+'NEW-Tables 80-86'!F132</f>
        <v>1811232.196111111</v>
      </c>
      <c r="K163" s="1"/>
      <c r="L163" s="4" t="s">
        <v>380</v>
      </c>
      <c r="Q163" s="1" t="s">
        <v>420</v>
      </c>
      <c r="R163" s="404">
        <f>+GETPIVOTDATA("Sum of Old-HS % of Total",'Pivot-HS Student % of Undergrad'!$A$3,"Category",7,"Category2","Two-Year")</f>
        <v>1.303062454225357E-2</v>
      </c>
      <c r="S163" s="393" t="e">
        <f>+'Pivot-HS Student % of Undergrad'!AG125*100</f>
        <v>#VALUE!</v>
      </c>
      <c r="T163" s="402">
        <f>+GETPIVOTDATA("Sum of Old-HS % of Total",'Pivot-HS Student % of Undergrad'!$A$3,"Category",8,"Category2","Two-Year")</f>
        <v>2.4688459282835192E-2</v>
      </c>
      <c r="U163" s="393" t="e">
        <f>+'Pivot-HS Student % of Undergrad'!AH125*100</f>
        <v>#VALUE!</v>
      </c>
      <c r="V163" s="402">
        <f>+GETPIVOTDATA("Sum of Old-HS % of Total",'Pivot-HS Student % of Undergrad'!$A$3,"Category",9,"Category2","Two-Year")</f>
        <v>5.405839654900662E-2</v>
      </c>
      <c r="W163" s="393" t="e">
        <f>+'Pivot-HS Student % of Undergrad'!AI125*100</f>
        <v>#VALUE!</v>
      </c>
      <c r="X163" s="402">
        <f>+GETPIVOTDATA("Sum of Old-HS % of Total",'Pivot-HS Student % of Undergrad'!$A$3,"Category",10,"Category2","Two-Year")</f>
        <v>6.7756263241522063E-2</v>
      </c>
      <c r="Y163" s="393" t="e">
        <f>+'Pivot-HS Student % of Undergrad'!AJ125*100</f>
        <v>#VALUE!</v>
      </c>
      <c r="Z163" s="402">
        <f>+GETPIVOTDATA("Sum of Old-HS % of Total",'Pivot-HS Student % of Undergrad'!$A$3,"Category2","Two-Year")</f>
        <v>3.0305874147051083E-2</v>
      </c>
      <c r="AA163" s="393" t="e">
        <f>+'Pivot-HS Student % of Undergrad'!AK125*100</f>
        <v>#VALUE!</v>
      </c>
      <c r="AC163" s="190" t="s">
        <v>420</v>
      </c>
      <c r="AD163" s="202">
        <f>+'NEW-Tables 80-86'!R101+'NEW-Tables 80-86'!R132</f>
        <v>125051.19777777779</v>
      </c>
      <c r="AE163" s="202">
        <f>+'NEW-Tables 80-86'!S101+'NEW-Tables 80-86'!S132</f>
        <v>858078.77711111133</v>
      </c>
      <c r="AF163" s="202">
        <f>+'NEW-Tables 80-86'!T101+'NEW-Tables 80-86'!T132</f>
        <v>508880.35833333334</v>
      </c>
      <c r="AG163" s="202">
        <f>+'NEW-Tables 80-86'!U101+'NEW-Tables 80-86'!U132</f>
        <v>145727.51077777782</v>
      </c>
      <c r="AH163" s="203">
        <f>+'NEW-Tables 80-86'!V101+'NEW-Tables 80-86'!V132</f>
        <v>1637737.8439999998</v>
      </c>
      <c r="AJ163" s="112" t="s">
        <v>420</v>
      </c>
      <c r="AK163" s="83">
        <f>SUM(AK165:AK183)</f>
        <v>135555.44111111114</v>
      </c>
      <c r="AL163" s="83">
        <f t="shared" ref="AL163:AP163" si="0">SUM(AL165:AL183)</f>
        <v>877693.53888888878</v>
      </c>
      <c r="AM163" s="83">
        <f t="shared" si="0"/>
        <v>545670.88222222216</v>
      </c>
      <c r="AN163" s="83">
        <f t="shared" si="0"/>
        <v>148245.60277777779</v>
      </c>
      <c r="AO163" s="83">
        <f>SUM(AO165:AO183)</f>
        <v>205286.56444444443</v>
      </c>
      <c r="AP163" s="83">
        <f t="shared" si="0"/>
        <v>1811232.1961111112</v>
      </c>
      <c r="AQ163" s="76"/>
      <c r="AV163" s="76"/>
      <c r="AW163" s="76"/>
      <c r="AX163" s="76"/>
      <c r="AY163" s="112" t="s">
        <v>420</v>
      </c>
      <c r="AZ163" s="83">
        <f t="shared" ref="AZ163:BE163" si="1">SUM(AZ165:AZ182)</f>
        <v>121036.56444444446</v>
      </c>
      <c r="BA163" s="83">
        <f t="shared" si="1"/>
        <v>566969.41488888883</v>
      </c>
      <c r="BB163" s="83">
        <f t="shared" si="1"/>
        <v>492831.22388888884</v>
      </c>
      <c r="BC163" s="83">
        <f t="shared" si="1"/>
        <v>122233.76077777779</v>
      </c>
      <c r="BD163" s="83">
        <f t="shared" si="1"/>
        <v>184667.70555555559</v>
      </c>
      <c r="BE163" s="83">
        <f t="shared" si="1"/>
        <v>1621865.7606666666</v>
      </c>
      <c r="BF163" s="76"/>
      <c r="BG163" s="76"/>
      <c r="BH163" s="76"/>
      <c r="BI163" s="76"/>
      <c r="BJ163" s="76"/>
    </row>
    <row r="164" spans="1:62" s="76" customFormat="1" ht="10.5" customHeight="1">
      <c r="A164" s="653"/>
      <c r="B164" s="654"/>
      <c r="C164" s="649" t="s">
        <v>939</v>
      </c>
      <c r="D164" s="650" t="s">
        <v>380</v>
      </c>
      <c r="E164" s="649" t="s">
        <v>940</v>
      </c>
      <c r="F164" s="650" t="s">
        <v>380</v>
      </c>
      <c r="G164" s="651" t="s">
        <v>941</v>
      </c>
      <c r="H164" s="652" t="s">
        <v>380</v>
      </c>
      <c r="I164" s="651" t="s">
        <v>942</v>
      </c>
      <c r="J164" s="652" t="s">
        <v>380</v>
      </c>
      <c r="K164" s="649" t="s">
        <v>943</v>
      </c>
      <c r="L164" s="76" t="s">
        <v>380</v>
      </c>
      <c r="Q164" s="1"/>
      <c r="R164" s="359"/>
      <c r="S164" s="393"/>
      <c r="T164" s="402"/>
      <c r="U164" s="393"/>
      <c r="V164" s="402"/>
      <c r="W164" s="393"/>
      <c r="X164" s="402"/>
      <c r="Y164" s="393"/>
      <c r="Z164" s="402"/>
      <c r="AA164" s="393"/>
      <c r="AC164" s="190"/>
      <c r="AD164" s="202"/>
      <c r="AE164" s="205"/>
      <c r="AF164" s="205"/>
      <c r="AG164" s="139"/>
      <c r="AH164" s="139"/>
      <c r="AJ164" s="112"/>
      <c r="AK164" s="83"/>
      <c r="AL164" s="83"/>
      <c r="AM164" s="83"/>
      <c r="AN164" s="83"/>
      <c r="AO164" s="83"/>
      <c r="AP164" s="83"/>
      <c r="AQ164" s="1"/>
      <c r="AV164" s="1"/>
      <c r="AW164" s="1"/>
      <c r="AX164" s="1"/>
      <c r="AY164" s="83"/>
      <c r="AZ164" s="112"/>
      <c r="BA164" s="83"/>
      <c r="BB164" s="83"/>
      <c r="BC164" s="83"/>
      <c r="BD164" s="83"/>
      <c r="BE164" s="83"/>
      <c r="BF164" s="1"/>
      <c r="BG164" s="1"/>
      <c r="BH164" s="1"/>
      <c r="BI164" s="1"/>
      <c r="BJ164" s="1"/>
    </row>
    <row r="165" spans="1:62" ht="15" customHeight="1">
      <c r="A165" s="1" t="s">
        <v>421</v>
      </c>
      <c r="B165" s="7">
        <f>+'NEW-Tables 80-86'!B103+'NEW-Tables 80-86'!B134</f>
        <v>0</v>
      </c>
      <c r="C165" s="108">
        <f>+GETPIVOTDATA("Sum of New-HS % of Total",'Pivot-HS Student % of Undergrad'!$A$3,"State","AL","Category",7,"Category2","Two-Year")</f>
        <v>0</v>
      </c>
      <c r="D165" s="311">
        <f>+'NEW-Tables 80-86'!C103+'NEW-Tables 80-86'!C134</f>
        <v>13331</v>
      </c>
      <c r="E165" s="108">
        <f>+GETPIVOTDATA("Sum of New-HS % of Total",'Pivot-HS Student % of Undergrad'!$A$3,"State","AL","Category",8,"Category2","Two-Year")</f>
        <v>0</v>
      </c>
      <c r="F165" s="311">
        <f>+'NEW-Tables 80-86'!D103+'NEW-Tables 80-86'!D134</f>
        <v>40127.833333333328</v>
      </c>
      <c r="G165" s="108">
        <f>+GETPIVOTDATA("Sum of New-HS % of Total",'Pivot-HS Student % of Undergrad'!$A$3,"State","AL","Category",9,"Category2","Two-Year")</f>
        <v>0</v>
      </c>
      <c r="H165" s="311">
        <f>+'NEW-Tables 80-86'!E103+'NEW-Tables 80-86'!E134</f>
        <v>16089.9</v>
      </c>
      <c r="I165" s="108">
        <f>+GETPIVOTDATA("Sum of New-HS % of Total",'Pivot-HS Student % of Undergrad'!$A$3,"State","AL","Category",10,"Category2","Two-Year")</f>
        <v>0</v>
      </c>
      <c r="J165" s="311">
        <f>+'NEW-Tables 80-86'!F103+'NEW-Tables 80-86'!F134</f>
        <v>69548.733333333323</v>
      </c>
      <c r="K165" s="108">
        <f>+GETPIVOTDATA("Sum of New-HS % of Total",'Pivot-HS Student % of Undergrad'!$A$3,"State","AL","Category2","Group2")</f>
        <v>0</v>
      </c>
      <c r="Q165" s="1" t="s">
        <v>421</v>
      </c>
      <c r="R165" s="359">
        <f>+GETPIVOTDATA("Sum of Old-HS % of Total",'Pivot-HS Student % of Undergrad'!$A$3,"State","AL","Category",7,"Category2","Two-Year")</f>
        <v>0</v>
      </c>
      <c r="S165" s="393" t="e">
        <f>+'Pivot-HS Student % of Undergrad'!AG12*100</f>
        <v>#VALUE!</v>
      </c>
      <c r="T165" s="402">
        <f>+GETPIVOTDATA("Sum of Old-HS % of Total",'Pivot-HS Student % of Undergrad'!$A$3,"State","AL","Category",8,"Category2","Two-Year")</f>
        <v>0</v>
      </c>
      <c r="U165" s="393" t="e">
        <f>+'Pivot-HS Student % of Undergrad'!AH12*100</f>
        <v>#VALUE!</v>
      </c>
      <c r="V165" s="402">
        <f>+GETPIVOTDATA("Sum of Old-HS % of Total",'Pivot-HS Student % of Undergrad'!$A$3,"State","AL","Category",9,"Category2","Two-Year")</f>
        <v>0</v>
      </c>
      <c r="W165" s="393" t="e">
        <f>+'Pivot-HS Student % of Undergrad'!AI12*100</f>
        <v>#VALUE!</v>
      </c>
      <c r="X165" s="402">
        <f>+GETPIVOTDATA("Sum of Old-HS % of Total",'Pivot-HS Student % of Undergrad'!$A$3,"State","AL","Category",10,"Category2","Two-Year")</f>
        <v>0</v>
      </c>
      <c r="Y165" s="393" t="e">
        <f>+'Pivot-HS Student % of Undergrad'!AJ12*100</f>
        <v>#VALUE!</v>
      </c>
      <c r="Z165" s="402">
        <f>+GETPIVOTDATA("Sum of Old-HS % of Total",'Pivot-HS Student % of Undergrad'!$A$3,"State","AL","Category2","Two-Year")</f>
        <v>0</v>
      </c>
      <c r="AA165" s="393" t="e">
        <f>+'Pivot-HS Student % of Undergrad'!AK12*100</f>
        <v>#VALUE!</v>
      </c>
      <c r="AC165" s="190" t="s">
        <v>421</v>
      </c>
      <c r="AD165" s="202">
        <f>+'NEW-Tables 80-86'!R103+'NEW-Tables 80-86'!R134</f>
        <v>0</v>
      </c>
      <c r="AE165" s="202">
        <f>+'NEW-Tables 80-86'!S103+'NEW-Tables 80-86'!S134</f>
        <v>12510.366666666665</v>
      </c>
      <c r="AF165" s="202">
        <f>+'NEW-Tables 80-86'!T103+'NEW-Tables 80-86'!T134</f>
        <v>35622.333333333336</v>
      </c>
      <c r="AG165" s="202">
        <f>+'NEW-Tables 80-86'!U103+'NEW-Tables 80-86'!U134</f>
        <v>14533.866666666669</v>
      </c>
      <c r="AH165" s="203">
        <f>+'NEW-Tables 80-86'!V103+'NEW-Tables 80-86'!V134</f>
        <v>62666.566666666666</v>
      </c>
      <c r="AJ165" s="112" t="s">
        <v>421</v>
      </c>
      <c r="AK165" s="83">
        <f t="shared" ref="AK165:AK183" si="2">+B165</f>
        <v>0</v>
      </c>
      <c r="AL165" s="83">
        <f t="shared" ref="AL165:AL180" si="3">+D165</f>
        <v>13331</v>
      </c>
      <c r="AM165" s="83">
        <f t="shared" ref="AM165:AM180" si="4">+F165</f>
        <v>40127.833333333328</v>
      </c>
      <c r="AN165" s="83">
        <f t="shared" ref="AN165:AN180" si="5">+H165</f>
        <v>16089.9</v>
      </c>
      <c r="AO165" s="83"/>
      <c r="AP165" s="83">
        <f t="shared" ref="AP165:AP183" si="6">+J165</f>
        <v>69548.733333333323</v>
      </c>
      <c r="AY165" s="112" t="s">
        <v>421</v>
      </c>
      <c r="AZ165" s="83">
        <f>+'NEW-Tables 80-86'!R103+'NEW-Tables 80-86'!R134</f>
        <v>0</v>
      </c>
      <c r="BA165" s="83">
        <f>+'NEW-Tables 80-86'!S103+'NEW-Tables 80-86'!S134</f>
        <v>12510.366666666665</v>
      </c>
      <c r="BB165" s="83">
        <f>+'NEW-Tables 80-86'!T103+'NEW-Tables 80-86'!T134</f>
        <v>35622.333333333336</v>
      </c>
      <c r="BC165" s="83">
        <f>+'NEW-Tables 80-86'!U103+'NEW-Tables 80-86'!U134</f>
        <v>14533.866666666669</v>
      </c>
      <c r="BD165" s="112"/>
      <c r="BE165" s="83">
        <f>+'NEW-Tables 80-86'!V103+'NEW-Tables 80-86'!V134</f>
        <v>62666.566666666666</v>
      </c>
    </row>
    <row r="166" spans="1:62" ht="15" customHeight="1">
      <c r="A166" s="1" t="s">
        <v>422</v>
      </c>
      <c r="B166" s="33">
        <f>+'NEW-Tables 80-86'!B104+'NEW-Tables 80-86'!B135</f>
        <v>0</v>
      </c>
      <c r="C166" s="108">
        <f>+GETPIVOTDATA("Sum of New-HS % of Total",'Pivot-HS Student % of Undergrad'!$A$3,"State","AR","Category",7,"Category2","Two-Year")</f>
        <v>0</v>
      </c>
      <c r="D166" s="311">
        <f>+'NEW-Tables 80-86'!C104+'NEW-Tables 80-86'!C135</f>
        <v>7079.9</v>
      </c>
      <c r="E166" s="108">
        <f>+GETPIVOTDATA("Sum of New-HS % of Total",'Pivot-HS Student % of Undergrad'!$A$3,"State","AR","Category",8,"Category2","Two-Year")</f>
        <v>1.4939005729836108E-2</v>
      </c>
      <c r="F166" s="311">
        <f>+'NEW-Tables 80-86'!D104+'NEW-Tables 80-86'!D135</f>
        <v>8478.7999999999993</v>
      </c>
      <c r="G166" s="108">
        <f>+GETPIVOTDATA("Sum of New-HS % of Total",'Pivot-HS Student % of Undergrad'!$A$3,"State","AR","Category",9,"Category2","Two-Year")</f>
        <v>4.9464546869840073E-2</v>
      </c>
      <c r="H166" s="311">
        <f>+'NEW-Tables 80-86'!E104+'NEW-Tables 80-86'!E135</f>
        <v>25153.999999999996</v>
      </c>
      <c r="I166" s="108">
        <f>+GETPIVOTDATA("Sum of New-HS % of Total",'Pivot-HS Student % of Undergrad'!$A$3,"State","AR","Category",10,"Category2","Two-Year")</f>
        <v>7.0605072751848616E-2</v>
      </c>
      <c r="J166" s="311">
        <f>+'NEW-Tables 80-86'!F104+'NEW-Tables 80-86'!F135</f>
        <v>40712.699999999997</v>
      </c>
      <c r="K166" s="108">
        <f>+GETPIVOTDATA("Sum of New-HS % of Total",'Pivot-HS Student % of Undergrad'!$A$3,"State","AR","Category2","Group2")</f>
        <v>5.652208442738179E-2</v>
      </c>
      <c r="Q166" s="4" t="s">
        <v>422</v>
      </c>
      <c r="R166" s="359">
        <f>+GETPIVOTDATA("Sum of Old-HS % of Total",'Pivot-HS Student % of Undergrad'!$A$3,"State","AR","Category",7,"Category2","Two-Year")</f>
        <v>0</v>
      </c>
      <c r="S166" s="394" t="e">
        <f>+'Pivot-HS Student % of Undergrad'!AG19*100</f>
        <v>#VALUE!</v>
      </c>
      <c r="T166" s="402">
        <f>+GETPIVOTDATA("Sum of Old-HS % of Total",'Pivot-HS Student % of Undergrad'!$A$3,"State","AR","Category",8,"Category2","Two-Year")</f>
        <v>1.5901385128919494E-2</v>
      </c>
      <c r="U166" s="393">
        <f>+'Pivot-HS Student % of Undergrad'!AH19*100</f>
        <v>-9.6237939908338538E-2</v>
      </c>
      <c r="V166" s="402">
        <f>+GETPIVOTDATA("Sum of Old-HS % of Total",'Pivot-HS Student % of Undergrad'!$A$3,"State","AR","Category",9,"Category2","Two-Year")</f>
        <v>5.5790451100218102E-2</v>
      </c>
      <c r="W166" s="393">
        <f>+'Pivot-HS Student % of Undergrad'!AI19*100</f>
        <v>-0.632590423037803</v>
      </c>
      <c r="X166" s="402">
        <f>+GETPIVOTDATA("Sum of Old-HS % of Total",'Pivot-HS Student % of Undergrad'!$A$3,"State","AR","Category",10,"Category2","Two-Year")</f>
        <v>7.7218244450714818E-2</v>
      </c>
      <c r="Y166" s="406">
        <f>+'Pivot-HS Student % of Undergrad'!AJ19*100</f>
        <v>-0.66131716988662026</v>
      </c>
      <c r="Z166" s="402">
        <f>+GETPIVOTDATA("Sum of Old-HS % of Total",'Pivot-HS Student % of Undergrad'!$A$3,"State","AR","Category2","Two-Year")</f>
        <v>6.2134150103245425E-2</v>
      </c>
      <c r="AA166" s="393">
        <f>+'Pivot-HS Student % of Undergrad'!AK19*100</f>
        <v>-0.56120656758636356</v>
      </c>
      <c r="AB166" s="664"/>
      <c r="AC166" s="190" t="s">
        <v>422</v>
      </c>
      <c r="AD166" s="205">
        <f>+'NEW-Tables 80-86'!R104+'NEW-Tables 80-86'!R135</f>
        <v>0</v>
      </c>
      <c r="AE166" s="205">
        <f>+'NEW-Tables 80-86'!S104+'NEW-Tables 80-86'!S135</f>
        <v>6341.166666666667</v>
      </c>
      <c r="AF166" s="205">
        <f>+'NEW-Tables 80-86'!T104+'NEW-Tables 80-86'!T135</f>
        <v>7718.1666666666661</v>
      </c>
      <c r="AG166" s="205">
        <f>+'NEW-Tables 80-86'!U104+'NEW-Tables 80-86'!U135</f>
        <v>22681.599999999999</v>
      </c>
      <c r="AH166" s="203">
        <f>+'NEW-Tables 80-86'!V104+'NEW-Tables 80-86'!V135</f>
        <v>36740.933333333334</v>
      </c>
      <c r="AJ166" s="112" t="s">
        <v>422</v>
      </c>
      <c r="AK166" s="83">
        <f t="shared" si="2"/>
        <v>0</v>
      </c>
      <c r="AL166" s="83">
        <f t="shared" si="3"/>
        <v>7079.9</v>
      </c>
      <c r="AM166" s="83">
        <f t="shared" si="4"/>
        <v>8478.7999999999993</v>
      </c>
      <c r="AN166" s="83">
        <f t="shared" si="5"/>
        <v>25153.999999999996</v>
      </c>
      <c r="AO166" s="83"/>
      <c r="AP166" s="83">
        <f t="shared" si="6"/>
        <v>40712.699999999997</v>
      </c>
      <c r="AY166" s="112" t="s">
        <v>422</v>
      </c>
      <c r="AZ166" s="83">
        <f>+'NEW-Tables 80-86'!R104+'NEW-Tables 80-86'!R135</f>
        <v>0</v>
      </c>
      <c r="BA166" s="83">
        <f>+'NEW-Tables 80-86'!S104+'NEW-Tables 80-86'!S135</f>
        <v>6341.166666666667</v>
      </c>
      <c r="BB166" s="83">
        <f>+'NEW-Tables 80-86'!T104+'NEW-Tables 80-86'!T135</f>
        <v>7718.1666666666661</v>
      </c>
      <c r="BC166" s="83">
        <f>+'NEW-Tables 80-86'!U104+'NEW-Tables 80-86'!U135</f>
        <v>22681.599999999999</v>
      </c>
      <c r="BD166" s="112"/>
      <c r="BE166" s="83">
        <f>+'NEW-Tables 80-86'!V104+'NEW-Tables 80-86'!V135</f>
        <v>36740.933333333334</v>
      </c>
    </row>
    <row r="167" spans="1:62" ht="15" customHeight="1">
      <c r="A167" s="1" t="s">
        <v>459</v>
      </c>
      <c r="B167" s="33">
        <f>+'NEW-Tables 80-86'!B105+'NEW-Tables 80-86'!B136</f>
        <v>0</v>
      </c>
      <c r="C167" s="108">
        <f>+GETPIVOTDATA("Sum of New-HS % of Total",'Pivot-HS Student % of Undergrad'!$A$3,"State","DE","Category",7,"Category2","Two-Year")</f>
        <v>0</v>
      </c>
      <c r="D167" s="311">
        <f>+'NEW-Tables 80-86'!C105+'NEW-Tables 80-86'!C136</f>
        <v>0</v>
      </c>
      <c r="E167" s="108">
        <f>+GETPIVOTDATA("Sum of New-HS % of Total",'Pivot-HS Student % of Undergrad'!$A$3,"State","DE","Category",8,"Category2","Two-Year")</f>
        <v>0</v>
      </c>
      <c r="F167" s="311">
        <f>+'NEW-Tables 80-86'!D105+'NEW-Tables 80-86'!D136</f>
        <v>10906.933333333334</v>
      </c>
      <c r="G167" s="108">
        <f>+GETPIVOTDATA("Sum of New-HS % of Total",'Pivot-HS Student % of Undergrad'!$A$3,"State","DE","Category",9,"Category2","Two-Year")</f>
        <v>8.3738783892814352E-4</v>
      </c>
      <c r="H167" s="311">
        <f>+'NEW-Tables 80-86'!E105+'NEW-Tables 80-86'!E136</f>
        <v>0</v>
      </c>
      <c r="I167" s="108">
        <f>+GETPIVOTDATA("Sum of New-HS % of Total",'Pivot-HS Student % of Undergrad'!$A$3,"State","DE","Category",10,"Category2","Two-Year")</f>
        <v>0</v>
      </c>
      <c r="J167" s="311">
        <f>+'NEW-Tables 80-86'!F105+'NEW-Tables 80-86'!F136</f>
        <v>10906.933333333334</v>
      </c>
      <c r="K167" s="108">
        <f>+GETPIVOTDATA("Sum of New-HS % of Total",'Pivot-HS Student % of Undergrad'!$A$3,"State","DE","Category2","Group2")</f>
        <v>8.3738783892814352E-4</v>
      </c>
      <c r="Q167" s="1" t="s">
        <v>459</v>
      </c>
      <c r="R167" s="359">
        <f>+GETPIVOTDATA("Sum of Old-HS % of Total",'Pivot-HS Student % of Undergrad'!$A$3,"State","DE","Category",7,"Category2","Two-Year")</f>
        <v>0</v>
      </c>
      <c r="S167" s="393" t="e">
        <f>+'Pivot-HS Student % of Undergrad'!AG26*100</f>
        <v>#VALUE!</v>
      </c>
      <c r="T167" s="402">
        <f>+GETPIVOTDATA("Sum of Old-HS % of Total",'Pivot-HS Student % of Undergrad'!$A$3,"State","DE","Category",8,"Category2","Two-Year")</f>
        <v>0</v>
      </c>
      <c r="U167" s="393" t="e">
        <f>+'Pivot-HS Student % of Undergrad'!AH26*100</f>
        <v>#VALUE!</v>
      </c>
      <c r="V167" s="402">
        <f>+GETPIVOTDATA("Sum of Old-HS % of Total",'Pivot-HS Student % of Undergrad'!$A$3,"State","DE","Category",9,"Category2","Two-Year")</f>
        <v>7.9508567912416127E-4</v>
      </c>
      <c r="W167" s="393">
        <f>+'Pivot-HS Student % of Undergrad'!AI26*100</f>
        <v>4.2302159803982251E-3</v>
      </c>
      <c r="X167" s="402">
        <f>+GETPIVOTDATA("Sum of Old-HS % of Total",'Pivot-HS Student % of Undergrad'!$A$3,"State","DE","Category",10,"Category2","Two-Year")</f>
        <v>0</v>
      </c>
      <c r="Y167" s="393" t="e">
        <f>+'Pivot-HS Student % of Undergrad'!AJ26*100</f>
        <v>#VALUE!</v>
      </c>
      <c r="Z167" s="402">
        <f>+GETPIVOTDATA("Sum of Old-HS % of Total",'Pivot-HS Student % of Undergrad'!$A$3,"State","DE","Category2","Two-Year")</f>
        <v>7.9508567912416127E-4</v>
      </c>
      <c r="AA167" s="406">
        <f>+'Pivot-HS Student % of Undergrad'!AK26*100</f>
        <v>4.2302159803982251E-3</v>
      </c>
      <c r="AC167" s="190" t="s">
        <v>459</v>
      </c>
      <c r="AD167" s="205">
        <f>+'NEW-Tables 80-86'!R105+'NEW-Tables 80-86'!R136</f>
        <v>0</v>
      </c>
      <c r="AE167" s="205">
        <f>+'NEW-Tables 80-86'!S105+'NEW-Tables 80-86'!S136</f>
        <v>0</v>
      </c>
      <c r="AF167" s="205">
        <f>+'NEW-Tables 80-86'!T105+'NEW-Tables 80-86'!T136</f>
        <v>9642.5666666666657</v>
      </c>
      <c r="AG167" s="205">
        <f>+'NEW-Tables 80-86'!U105+'NEW-Tables 80-86'!U136</f>
        <v>0</v>
      </c>
      <c r="AH167" s="203">
        <f>+'NEW-Tables 80-86'!V105+'NEW-Tables 80-86'!V136</f>
        <v>9642.5666666666657</v>
      </c>
      <c r="AJ167" s="112" t="s">
        <v>459</v>
      </c>
      <c r="AK167" s="83">
        <f t="shared" si="2"/>
        <v>0</v>
      </c>
      <c r="AL167" s="83">
        <f t="shared" si="3"/>
        <v>0</v>
      </c>
      <c r="AM167" s="83">
        <f t="shared" si="4"/>
        <v>10906.933333333334</v>
      </c>
      <c r="AN167" s="83">
        <f t="shared" si="5"/>
        <v>0</v>
      </c>
      <c r="AO167" s="83"/>
      <c r="AP167" s="83">
        <f t="shared" si="6"/>
        <v>10906.933333333334</v>
      </c>
      <c r="AY167" s="112" t="s">
        <v>459</v>
      </c>
      <c r="AZ167" s="83">
        <f>+'NEW-Tables 80-86'!R105+'NEW-Tables 80-86'!R136</f>
        <v>0</v>
      </c>
      <c r="BA167" s="83">
        <f>+'NEW-Tables 80-86'!S105+'NEW-Tables 80-86'!S136</f>
        <v>0</v>
      </c>
      <c r="BB167" s="83">
        <f>+'NEW-Tables 80-86'!T105+'NEW-Tables 80-86'!T136</f>
        <v>9642.5666666666657</v>
      </c>
      <c r="BC167" s="83">
        <f>+'NEW-Tables 80-86'!U105+'NEW-Tables 80-86'!U136</f>
        <v>0</v>
      </c>
      <c r="BD167" s="112"/>
      <c r="BE167" s="83">
        <f>+'NEW-Tables 80-86'!V105+'NEW-Tables 80-86'!V136</f>
        <v>9642.5666666666657</v>
      </c>
    </row>
    <row r="168" spans="1:62" ht="15" customHeight="1">
      <c r="A168" s="1" t="s">
        <v>423</v>
      </c>
      <c r="B168" s="33">
        <f>+'NEW-Tables 80-86'!B106+'NEW-Tables 80-86'!B137</f>
        <v>99734.681111111116</v>
      </c>
      <c r="C168" s="108">
        <f>+GETPIVOTDATA("Sum of New-HS % of Total",'Pivot-HS Student % of Undergrad'!$A$3,"State","FL","Category",7,"Category2","Two-Year")</f>
        <v>8.4365367049081003E-3</v>
      </c>
      <c r="D168" s="311">
        <f>+'NEW-Tables 80-86'!C106+'NEW-Tables 80-86'!C137</f>
        <v>226962.04</v>
      </c>
      <c r="E168" s="108">
        <f>+GETPIVOTDATA("Sum of New-HS % of Total",'Pivot-HS Student % of Undergrad'!$A$3,"State","FL","Category",8,"Category2","Two-Year")</f>
        <v>1.7927292995117947E-2</v>
      </c>
      <c r="F168" s="311">
        <f>+'NEW-Tables 80-86'!D106+'NEW-Tables 80-86'!D137</f>
        <v>23932.943333333333</v>
      </c>
      <c r="G168" s="108">
        <f>+GETPIVOTDATA("Sum of New-HS % of Total",'Pivot-HS Student % of Undergrad'!$A$3,"State","FL","Category",9,"Category2","Two-Year")</f>
        <v>4.7093815360797382E-2</v>
      </c>
      <c r="H168" s="311">
        <f>+'NEW-Tables 80-86'!E106+'NEW-Tables 80-86'!E137</f>
        <v>1903.0722222222223</v>
      </c>
      <c r="I168" s="108">
        <f>+GETPIVOTDATA("Sum of New-HS % of Total",'Pivot-HS Student % of Undergrad'!$A$3,"State","FL","Category",10,"Category2","Two-Year")</f>
        <v>2.5924260652238195E-2</v>
      </c>
      <c r="J168" s="311">
        <f>+'NEW-Tables 80-86'!F106+'NEW-Tables 80-86'!F137</f>
        <v>352532.73666666669</v>
      </c>
      <c r="K168" s="108">
        <f>+GETPIVOTDATA("Sum of New-HS % of Total",'Pivot-HS Student % of Undergrad'!$A$3,"State","FL","Category2","Group2")</f>
        <v>1.7506260906253481E-2</v>
      </c>
      <c r="Q168" s="1" t="s">
        <v>423</v>
      </c>
      <c r="R168" s="359">
        <f>+GETPIVOTDATA("Sum of Old-HS % of Total",'Pivot-HS Student % of Undergrad'!$A$3,"State","FL","Category",7,"Category2","Two-Year")</f>
        <v>7.0821865908730257E-3</v>
      </c>
      <c r="S168" s="393">
        <f>+'Pivot-HS Student % of Undergrad'!AG33*100</f>
        <v>0.13543501140350747</v>
      </c>
      <c r="T168" s="38">
        <f>+GETPIVOTDATA("Sum of Old-HS % of Total",'Pivot-HS Student % of Undergrad'!$A$3,"State","FL","Category",8,"Category2","Two-Year")</f>
        <v>1.5741963196718663E-2</v>
      </c>
      <c r="U168" s="393">
        <f>+'Pivot-HS Student % of Undergrad'!AH33*100</f>
        <v>0.21853297983992839</v>
      </c>
      <c r="V168" s="402">
        <f>+GETPIVOTDATA("Sum of Old-HS % of Total",'Pivot-HS Student % of Undergrad'!$A$3,"State","FL","Category",9,"Category2","Two-Year")</f>
        <v>4.7505125929552895E-2</v>
      </c>
      <c r="W168" s="393">
        <f>+'Pivot-HS Student % of Undergrad'!AI33*100</f>
        <v>-4.1131056875551297E-2</v>
      </c>
      <c r="X168" s="402">
        <f>+GETPIVOTDATA("Sum of Old-HS % of Total",'Pivot-HS Student % of Undergrad'!$A$3,"State","FL","Category",10,"Category2","Two-Year")</f>
        <v>2.3788800708956108E-2</v>
      </c>
      <c r="Y168" s="393">
        <f>+'Pivot-HS Student % of Undergrad'!AJ33*100</f>
        <v>0.2135459943282087</v>
      </c>
      <c r="Z168" s="402">
        <f>+GETPIVOTDATA("Sum of Old-HS % of Total",'Pivot-HS Student % of Undergrad'!$A$3,"State","FL","Category2","Two-Year")</f>
        <v>1.5665108939997986E-2</v>
      </c>
      <c r="AA168" s="393">
        <f>+'Pivot-HS Student % of Undergrad'!AK33*100</f>
        <v>0.18411519662554948</v>
      </c>
      <c r="AC168" s="190" t="s">
        <v>423</v>
      </c>
      <c r="AD168" s="205">
        <f>+'NEW-Tables 80-86'!R106+'NEW-Tables 80-86'!R137</f>
        <v>93253.726666666669</v>
      </c>
      <c r="AE168" s="205">
        <f>+'NEW-Tables 80-86'!S106+'NEW-Tables 80-86'!S137</f>
        <v>205362.64888888889</v>
      </c>
      <c r="AF168" s="205">
        <f>+'NEW-Tables 80-86'!T106+'NEW-Tables 80-86'!T137</f>
        <v>21971.887777777782</v>
      </c>
      <c r="AG168" s="205">
        <f>+'NEW-Tables 80-86'!U106+'NEW-Tables 80-86'!U137</f>
        <v>1778.9911111111112</v>
      </c>
      <c r="AH168" s="203">
        <f>+'NEW-Tables 80-86'!V106+'NEW-Tables 80-86'!V137</f>
        <v>322367.25444444444</v>
      </c>
      <c r="AJ168" s="112" t="s">
        <v>423</v>
      </c>
      <c r="AK168" s="83">
        <f t="shared" si="2"/>
        <v>99734.681111111116</v>
      </c>
      <c r="AL168" s="83">
        <f t="shared" si="3"/>
        <v>226962.04</v>
      </c>
      <c r="AM168" s="83">
        <f t="shared" si="4"/>
        <v>23932.943333333333</v>
      </c>
      <c r="AN168" s="83">
        <f t="shared" si="5"/>
        <v>1903.0722222222223</v>
      </c>
      <c r="AO168" s="83"/>
      <c r="AP168" s="83">
        <f t="shared" si="6"/>
        <v>352532.73666666669</v>
      </c>
      <c r="AY168" s="112" t="s">
        <v>423</v>
      </c>
      <c r="AZ168" s="83">
        <f>+'NEW-Tables 80-86'!R106+'NEW-Tables 80-86'!R137</f>
        <v>93253.726666666669</v>
      </c>
      <c r="BA168" s="83">
        <f>+'NEW-Tables 80-86'!S106+'NEW-Tables 80-86'!S137</f>
        <v>205362.64888888889</v>
      </c>
      <c r="BB168" s="83">
        <f>+'NEW-Tables 80-86'!T106+'NEW-Tables 80-86'!T137</f>
        <v>21971.887777777782</v>
      </c>
      <c r="BC168" s="83">
        <f>+'NEW-Tables 80-86'!U106+'NEW-Tables 80-86'!U137</f>
        <v>1778.9911111111112</v>
      </c>
      <c r="BD168" s="112"/>
      <c r="BE168" s="83">
        <f>+'NEW-Tables 80-86'!V106+'NEW-Tables 80-86'!V137</f>
        <v>322367.25444444444</v>
      </c>
    </row>
    <row r="169" spans="1:62" ht="12" customHeight="1">
      <c r="B169" s="33"/>
      <c r="C169" s="108"/>
      <c r="D169" s="311"/>
      <c r="E169" s="108"/>
      <c r="F169" s="311"/>
      <c r="G169" s="108"/>
      <c r="H169" s="311"/>
      <c r="I169" s="108"/>
      <c r="J169" s="311"/>
      <c r="K169" s="108"/>
      <c r="R169" s="359"/>
      <c r="S169" s="393"/>
      <c r="T169" s="38"/>
      <c r="U169" s="393"/>
      <c r="V169" s="402"/>
      <c r="W169" s="393"/>
      <c r="X169" s="402"/>
      <c r="Y169" s="393"/>
      <c r="Z169" s="402"/>
      <c r="AA169" s="393"/>
      <c r="AC169" s="190"/>
      <c r="AD169" s="205"/>
      <c r="AE169" s="205"/>
      <c r="AF169" s="205"/>
      <c r="AG169" s="205"/>
      <c r="AH169" s="203"/>
      <c r="AJ169" s="112"/>
      <c r="AK169" s="83"/>
      <c r="AL169" s="83"/>
      <c r="AM169" s="83"/>
      <c r="AN169" s="83"/>
      <c r="AO169" s="83"/>
      <c r="AP169" s="83"/>
      <c r="AY169" s="112"/>
      <c r="AZ169" s="83"/>
      <c r="BA169" s="83"/>
      <c r="BB169" s="83"/>
      <c r="BC169" s="83"/>
      <c r="BD169" s="112"/>
      <c r="BE169" s="83"/>
    </row>
    <row r="170" spans="1:62" ht="15" customHeight="1">
      <c r="A170" s="1" t="s">
        <v>424</v>
      </c>
      <c r="B170" s="33">
        <f>+'NEW-Tables 80-86'!B108+'NEW-Tables 80-86'!B139</f>
        <v>4170.8</v>
      </c>
      <c r="C170" s="108">
        <f>+GETPIVOTDATA("Sum of New-HS % of Total",'Pivot-HS Student % of Undergrad'!$A$3,"State","GA","Category",7,"Category2","Two-Year")</f>
        <v>8.5115565359163703E-3</v>
      </c>
      <c r="D170" s="311">
        <f>+'NEW-Tables 80-86'!C108+'NEW-Tables 80-86'!C139</f>
        <v>18632.733333333334</v>
      </c>
      <c r="E170" s="108">
        <f>+GETPIVOTDATA("Sum of New-HS % of Total",'Pivot-HS Student % of Undergrad'!$A$3,"State","GA","Category",8,"Category2","Two-Year")</f>
        <v>1.6106064238204449E-2</v>
      </c>
      <c r="F170" s="311">
        <f>+'NEW-Tables 80-86'!D108+'NEW-Tables 80-86'!D139</f>
        <v>29556.2</v>
      </c>
      <c r="G170" s="108">
        <f>+GETPIVOTDATA("Sum of New-HS % of Total",'Pivot-HS Student % of Undergrad'!$A$3,"State","GA","Category",9,"Category2","Two-Year")</f>
        <v>1.1489411133140707E-2</v>
      </c>
      <c r="H170" s="311">
        <f>+'NEW-Tables 80-86'!E108+'NEW-Tables 80-86'!E139</f>
        <v>6902.8333333333339</v>
      </c>
      <c r="I170" s="108">
        <f>+GETPIVOTDATA("Sum of New-HS % of Total",'Pivot-HS Student % of Undergrad'!$A$3,"State","GA","Category",10,"Category2","Two-Year")</f>
        <v>7.3979283868942708E-3</v>
      </c>
      <c r="J170" s="311">
        <f>+'NEW-Tables 80-86'!F108+'NEW-Tables 80-86'!F139</f>
        <v>59262.566666666673</v>
      </c>
      <c r="K170" s="108">
        <f>+GETPIVOTDATA("Sum of New-HS % of Total",'Pivot-HS Student % of Undergrad'!$A$3,"State","GA","Category2","Group2")</f>
        <v>1.2254784779824475E-2</v>
      </c>
      <c r="Q170" s="1" t="s">
        <v>424</v>
      </c>
      <c r="R170" s="359">
        <f>+GETPIVOTDATA("Sum of Old-HS % of Total",'Pivot-HS Student % of Undergrad'!$A$3,"State","GA","Category",7,"Category2","Two-Year")</f>
        <v>8.6193774259837128E-3</v>
      </c>
      <c r="S170" s="393">
        <f>+'Pivot-HS Student % of Undergrad'!AG40*100</f>
        <v>-1.0782089006734254E-2</v>
      </c>
      <c r="T170" s="402">
        <f>+GETPIVOTDATA("Sum of Old-HS % of Total",'Pivot-HS Student % of Undergrad'!$A$3,"State","GA","Category",8,"Category2","Two-Year")</f>
        <v>1.8755163700616931E-2</v>
      </c>
      <c r="U170" s="393">
        <f>+'Pivot-HS Student % of Undergrad'!AH40*100</f>
        <v>-0.2649099462412482</v>
      </c>
      <c r="V170" s="402">
        <f>+GETPIVOTDATA("Sum of Old-HS % of Total",'Pivot-HS Student % of Undergrad'!$A$3,"State","GA","Category",9,"Category2","Two-Year")</f>
        <v>1.4579750682107408E-2</v>
      </c>
      <c r="W170" s="393">
        <f>+'Pivot-HS Student % of Undergrad'!AI40*100</f>
        <v>-0.30903395489667013</v>
      </c>
      <c r="X170" s="402">
        <f>+GETPIVOTDATA("Sum of Old-HS % of Total",'Pivot-HS Student % of Undergrad'!$A$3,"State","GA","Category",10,"Category2","Two-Year")</f>
        <v>8.1464210508487966E-3</v>
      </c>
      <c r="Y170" s="393">
        <f>+'Pivot-HS Student % of Undergrad'!AJ40*100</f>
        <v>-7.4849266395452585E-2</v>
      </c>
      <c r="Z170" s="402">
        <f>+GETPIVOTDATA("Sum of Old-HS % of Total",'Pivot-HS Student % of Undergrad'!$A$3,"State","GA","Category2","Two-Year")</f>
        <v>1.4777400159936E-2</v>
      </c>
      <c r="AA170" s="393">
        <f>+'Pivot-HS Student % of Undergrad'!AK40*100</f>
        <v>-0.25226153801115248</v>
      </c>
      <c r="AC170" s="190" t="s">
        <v>424</v>
      </c>
      <c r="AD170" s="205">
        <f>+'NEW-Tables 80-86'!R108+'NEW-Tables 80-86'!R139</f>
        <v>3503.7333333333331</v>
      </c>
      <c r="AE170" s="205">
        <f>+'NEW-Tables 80-86'!S108+'NEW-Tables 80-86'!S139</f>
        <v>16582.099999999999</v>
      </c>
      <c r="AF170" s="205">
        <f>+'NEW-Tables 80-86'!T108+'NEW-Tables 80-86'!T139</f>
        <v>26468.216666666671</v>
      </c>
      <c r="AG170" s="205">
        <f>+'NEW-Tables 80-86'!U108+'NEW-Tables 80-86'!U139</f>
        <v>5904.4333333333334</v>
      </c>
      <c r="AH170" s="203">
        <f>+'NEW-Tables 80-86'!V108+'NEW-Tables 80-86'!V139</f>
        <v>52458.483333333337</v>
      </c>
      <c r="AJ170" s="112" t="s">
        <v>424</v>
      </c>
      <c r="AK170" s="83">
        <f t="shared" si="2"/>
        <v>4170.8</v>
      </c>
      <c r="AL170" s="83">
        <f t="shared" si="3"/>
        <v>18632.733333333334</v>
      </c>
      <c r="AM170" s="83">
        <f t="shared" si="4"/>
        <v>29556.2</v>
      </c>
      <c r="AN170" s="83">
        <f t="shared" si="5"/>
        <v>6902.8333333333339</v>
      </c>
      <c r="AO170" s="83"/>
      <c r="AP170" s="83">
        <f t="shared" si="6"/>
        <v>59262.566666666673</v>
      </c>
      <c r="AY170" s="112" t="s">
        <v>424</v>
      </c>
      <c r="AZ170" s="83">
        <f>+'NEW-Tables 80-86'!R108+'NEW-Tables 80-86'!R139</f>
        <v>3503.7333333333331</v>
      </c>
      <c r="BA170" s="83">
        <f>+'NEW-Tables 80-86'!S108+'NEW-Tables 80-86'!S139</f>
        <v>16582.099999999999</v>
      </c>
      <c r="BB170" s="83">
        <f>+'NEW-Tables 80-86'!T108+'NEW-Tables 80-86'!T139</f>
        <v>26468.216666666671</v>
      </c>
      <c r="BC170" s="83">
        <f>+'NEW-Tables 80-86'!U108+'NEW-Tables 80-86'!U139</f>
        <v>5904.4333333333334</v>
      </c>
      <c r="BD170" s="112"/>
      <c r="BE170" s="83">
        <f>+'NEW-Tables 80-86'!V108+'NEW-Tables 80-86'!V139</f>
        <v>52458.483333333337</v>
      </c>
    </row>
    <row r="171" spans="1:62" ht="15" customHeight="1">
      <c r="A171" s="1" t="s">
        <v>425</v>
      </c>
      <c r="B171" s="33">
        <f>+'NEW-Tables 80-86'!B109+'NEW-Tables 80-86'!B140</f>
        <v>0</v>
      </c>
      <c r="C171" s="108">
        <f>+GETPIVOTDATA("Sum of New-HS % of Total",'Pivot-HS Student % of Undergrad'!$A$3,"State","KY","Category",7,"Category2","Two-Year")</f>
        <v>0</v>
      </c>
      <c r="D171" s="311">
        <f>+'NEW-Tables 80-86'!C109+'NEW-Tables 80-86'!C140</f>
        <v>16963.5</v>
      </c>
      <c r="E171" s="108">
        <f>+GETPIVOTDATA("Sum of New-HS % of Total",'Pivot-HS Student % of Undergrad'!$A$3,"State","KY","Category",8,"Category2","Two-Year")</f>
        <v>3.3880586749982809E-2</v>
      </c>
      <c r="F171" s="311">
        <f>+'NEW-Tables 80-86'!D109+'NEW-Tables 80-86'!D140</f>
        <v>27180.26666666667</v>
      </c>
      <c r="G171" s="108">
        <f>+GETPIVOTDATA("Sum of New-HS % of Total",'Pivot-HS Student % of Undergrad'!$A$3,"State","KY","Category",9,"Category2","Two-Year")</f>
        <v>7.4945303455448073E-2</v>
      </c>
      <c r="H171" s="311">
        <f>+'NEW-Tables 80-86'!E109+'NEW-Tables 80-86'!E140</f>
        <v>5589.6666666666661</v>
      </c>
      <c r="I171" s="108">
        <f>+GETPIVOTDATA("Sum of New-HS % of Total",'Pivot-HS Student % of Undergrad'!$A$3,"State","KY","Category",10,"Category2","Two-Year")</f>
        <v>4.5524479694674699E-2</v>
      </c>
      <c r="J171" s="311">
        <f>+'NEW-Tables 80-86'!F109+'NEW-Tables 80-86'!F140</f>
        <v>49733.433333333334</v>
      </c>
      <c r="K171" s="108">
        <f>+GETPIVOTDATA("Sum of New-HS % of Total",'Pivot-HS Student % of Undergrad'!$A$3,"State","KY","Category2","Group2")</f>
        <v>5.763192165163207E-2</v>
      </c>
      <c r="Q171" s="1" t="s">
        <v>425</v>
      </c>
      <c r="R171" s="359">
        <f>+GETPIVOTDATA("Sum of Old-HS % of Total",'Pivot-HS Student % of Undergrad'!$A$3,"State","KY","Category",7,"Category2","Two-Year")</f>
        <v>0</v>
      </c>
      <c r="S171" s="394" t="e">
        <f>+'Pivot-HS Student % of Undergrad'!AG47*100</f>
        <v>#VALUE!</v>
      </c>
      <c r="T171" s="402">
        <f>+GETPIVOTDATA("Sum of Old-HS % of Total",'Pivot-HS Student % of Undergrad'!$A$3,"State","KY","Category",8,"Category2","Two-Year")</f>
        <v>3.79022560666143E-2</v>
      </c>
      <c r="U171" s="393">
        <f>+'Pivot-HS Student % of Undergrad'!AH47*100</f>
        <v>-0.40216693166314904</v>
      </c>
      <c r="V171" s="402">
        <f>+GETPIVOTDATA("Sum of Old-HS % of Total",'Pivot-HS Student % of Undergrad'!$A$3,"State","KY","Category",9,"Category2","Two-Year")</f>
        <v>8.2285663610376328E-2</v>
      </c>
      <c r="W171" s="393">
        <f>-'Pivot-HS Student % of Undergrad'!AI47*100</f>
        <v>0.73403601549282549</v>
      </c>
      <c r="X171" s="402">
        <f>+GETPIVOTDATA("Sum of Old-HS % of Total",'Pivot-HS Student % of Undergrad'!$A$3,"State","KY","Category",10,"Category2","Two-Year")</f>
        <v>4.645161290322581E-2</v>
      </c>
      <c r="Y171" s="393">
        <f>+'Pivot-HS Student % of Undergrad'!AJ47*100</f>
        <v>-9.2713320855111053E-2</v>
      </c>
      <c r="Z171" s="402">
        <f>+GETPIVOTDATA("Sum of Old-HS % of Total",'Pivot-HS Student % of Undergrad'!$A$3,"State","KY","Category2","Two-Year")</f>
        <v>6.2656559635005132E-2</v>
      </c>
      <c r="AA171" s="393">
        <f>+'Pivot-HS Student % of Undergrad'!AK47*100</f>
        <v>-0.50246379833730614</v>
      </c>
      <c r="AC171" s="190" t="s">
        <v>425</v>
      </c>
      <c r="AD171" s="205">
        <f>+'NEW-Tables 80-86'!R109+'NEW-Tables 80-86'!R140</f>
        <v>0</v>
      </c>
      <c r="AE171" s="205">
        <f>+'NEW-Tables 80-86'!S109+'NEW-Tables 80-86'!S140</f>
        <v>15828.433333333334</v>
      </c>
      <c r="AF171" s="205">
        <f>+'NEW-Tables 80-86'!T109+'NEW-Tables 80-86'!T140</f>
        <v>24056.033333333333</v>
      </c>
      <c r="AG171" s="205">
        <f>+'NEW-Tables 80-86'!U109+'NEW-Tables 80-86'!U140</f>
        <v>4960</v>
      </c>
      <c r="AH171" s="203">
        <f>+'NEW-Tables 80-86'!V109+'NEW-Tables 80-86'!V140</f>
        <v>44844.466666666667</v>
      </c>
      <c r="AJ171" s="112" t="s">
        <v>425</v>
      </c>
      <c r="AK171" s="83">
        <f t="shared" si="2"/>
        <v>0</v>
      </c>
      <c r="AL171" s="83">
        <f t="shared" si="3"/>
        <v>16963.5</v>
      </c>
      <c r="AM171" s="83">
        <f t="shared" si="4"/>
        <v>27180.26666666667</v>
      </c>
      <c r="AN171" s="83">
        <f t="shared" si="5"/>
        <v>5589.6666666666661</v>
      </c>
      <c r="AO171" s="83"/>
      <c r="AP171" s="83">
        <f t="shared" si="6"/>
        <v>49733.433333333334</v>
      </c>
      <c r="AY171" s="112" t="s">
        <v>425</v>
      </c>
      <c r="AZ171" s="83">
        <f>+'NEW-Tables 80-86'!R109+'NEW-Tables 80-86'!R140</f>
        <v>0</v>
      </c>
      <c r="BA171" s="83">
        <f>+'NEW-Tables 80-86'!S109+'NEW-Tables 80-86'!S140</f>
        <v>15828.433333333334</v>
      </c>
      <c r="BB171" s="83">
        <f>+'NEW-Tables 80-86'!T109+'NEW-Tables 80-86'!T140</f>
        <v>24056.033333333333</v>
      </c>
      <c r="BC171" s="83">
        <f>+'NEW-Tables 80-86'!U109+'NEW-Tables 80-86'!U140</f>
        <v>4960</v>
      </c>
      <c r="BD171" s="112"/>
      <c r="BE171" s="83">
        <f>+'NEW-Tables 80-86'!V109+'NEW-Tables 80-86'!V140</f>
        <v>44844.466666666667</v>
      </c>
    </row>
    <row r="172" spans="1:62" ht="15" customHeight="1">
      <c r="A172" s="1" t="s">
        <v>426</v>
      </c>
      <c r="B172" s="33">
        <f>+'NEW-Tables 80-86'!B110+'NEW-Tables 80-86'!B141</f>
        <v>1890.8</v>
      </c>
      <c r="C172" s="108">
        <f>+GETPIVOTDATA("Sum of New-HS % of Total",'Pivot-HS Student % of Undergrad'!$A$3,"State","LA","Category",7,"Category2","Two-Year")</f>
        <v>5.8335096255553207E-2</v>
      </c>
      <c r="D172" s="311">
        <f>+'NEW-Tables 80-86'!C110+'NEW-Tables 80-86'!C141</f>
        <v>11191.033333333333</v>
      </c>
      <c r="E172" s="108">
        <f>+GETPIVOTDATA("Sum of New-HS % of Total",'Pivot-HS Student % of Undergrad'!$A$3,"State","LA","Category",8,"Category2","Two-Year")</f>
        <v>4.0300121228006944E-3</v>
      </c>
      <c r="F172" s="311">
        <f>+'NEW-Tables 80-86'!D110+'NEW-Tables 80-86'!D141</f>
        <v>11311.233333333334</v>
      </c>
      <c r="G172" s="108">
        <f>+GETPIVOTDATA("Sum of New-HS % of Total",'Pivot-HS Student % of Undergrad'!$A$3,"State","LA","Category",9,"Category2","Two-Year")</f>
        <v>2.7315029012456644E-2</v>
      </c>
      <c r="H172" s="311">
        <f>+'NEW-Tables 80-86'!E110+'NEW-Tables 80-86'!E141</f>
        <v>7760.2866666666669</v>
      </c>
      <c r="I172" s="108">
        <f>+GETPIVOTDATA("Sum of New-HS % of Total",'Pivot-HS Student % of Undergrad'!$A$3,"State","LA","Category",10,"Category2","Two-Year")</f>
        <v>6.2270036416180501E-2</v>
      </c>
      <c r="J172" s="311">
        <f>+'NEW-Tables 80-86'!F110+'NEW-Tables 80-86'!F141</f>
        <v>32153.353333333333</v>
      </c>
      <c r="K172" s="108">
        <f>+GETPIVOTDATA("Sum of New-HS % of Total",'Pivot-HS Student % of Undergrad'!$A$3,"State","LA","Category2","Group2")</f>
        <v>2.9471265101846299E-2</v>
      </c>
      <c r="Q172" s="1" t="s">
        <v>426</v>
      </c>
      <c r="R172" s="359">
        <f>+GETPIVOTDATA("Sum of Old-HS % of Total",'Pivot-HS Student % of Undergrad'!$A$3,"State","LA","Category",7,"Category2","Two-Year")</f>
        <v>7.222241337783436E-2</v>
      </c>
      <c r="S172" s="393">
        <f>+'Pivot-HS Student % of Undergrad'!AG54*100</f>
        <v>-1.3887317122281153</v>
      </c>
      <c r="T172" s="402">
        <f>+GETPIVOTDATA("Sum of Old-HS % of Total",'Pivot-HS Student % of Undergrad'!$A$3,"State","LA","Category",8,"Category2","Two-Year")</f>
        <v>4.7670803180805106E-3</v>
      </c>
      <c r="U172" s="393">
        <f>+'Pivot-HS Student % of Undergrad'!AH54*100</f>
        <v>-7.3706819527981624E-2</v>
      </c>
      <c r="V172" s="402">
        <f>+GETPIVOTDATA("Sum of Old-HS % of Total",'Pivot-HS Student % of Undergrad'!$A$3,"State","LA","Category",9,"Category2","Two-Year")</f>
        <v>2.4331794340274507E-2</v>
      </c>
      <c r="W172" s="393">
        <f>+'Pivot-HS Student % of Undergrad'!AI54*100</f>
        <v>0.29832346721821379</v>
      </c>
      <c r="X172" s="402">
        <f>+GETPIVOTDATA("Sum of Old-HS % of Total",'Pivot-HS Student % of Undergrad'!$A$3,"State","LA","Category",10,"Category2","Two-Year")</f>
        <v>6.9856096441330853E-2</v>
      </c>
      <c r="Y172" s="393">
        <f>+'Pivot-HS Student % of Undergrad'!AJ54*100</f>
        <v>-0.75860600251503529</v>
      </c>
      <c r="Z172" s="402">
        <f>+GETPIVOTDATA("Sum of Old-HS % of Total",'Pivot-HS Student % of Undergrad'!$A$3,"State","LA","Category2","Two-Year")</f>
        <v>3.1499230123825592E-2</v>
      </c>
      <c r="AA172" s="393">
        <f>+'Pivot-HS Student % of Undergrad'!AK54*100</f>
        <v>-0.2027965021979293</v>
      </c>
      <c r="AC172" s="190" t="s">
        <v>426</v>
      </c>
      <c r="AD172" s="205">
        <f>+'NEW-Tables 80-86'!R110+'NEW-Tables 80-86'!R141</f>
        <v>1937.5333333333333</v>
      </c>
      <c r="AE172" s="205">
        <f>+'NEW-Tables 80-86'!S110+'NEW-Tables 80-86'!S141</f>
        <v>9691.4666666666672</v>
      </c>
      <c r="AF172" s="205">
        <f>+'NEW-Tables 80-86'!T110+'NEW-Tables 80-86'!T141</f>
        <v>10613</v>
      </c>
      <c r="AG172" s="205">
        <f>+'NEW-Tables 80-86'!U110+'NEW-Tables 80-86'!U141</f>
        <v>6680.4</v>
      </c>
      <c r="AH172" s="203">
        <f>+'NEW-Tables 80-86'!V110+'NEW-Tables 80-86'!V141</f>
        <v>28922.400000000001</v>
      </c>
      <c r="AJ172" s="112" t="s">
        <v>426</v>
      </c>
      <c r="AK172" s="83">
        <f t="shared" si="2"/>
        <v>1890.8</v>
      </c>
      <c r="AL172" s="83">
        <f t="shared" si="3"/>
        <v>11191.033333333333</v>
      </c>
      <c r="AM172" s="83">
        <f t="shared" si="4"/>
        <v>11311.233333333334</v>
      </c>
      <c r="AN172" s="83">
        <f t="shared" si="5"/>
        <v>7760.2866666666669</v>
      </c>
      <c r="AO172" s="83"/>
      <c r="AP172" s="83">
        <f t="shared" si="6"/>
        <v>32153.353333333333</v>
      </c>
      <c r="AY172" s="112" t="s">
        <v>426</v>
      </c>
      <c r="AZ172" s="83">
        <f>+'NEW-Tables 80-86'!R110+'NEW-Tables 80-86'!R141</f>
        <v>1937.5333333333333</v>
      </c>
      <c r="BA172" s="83">
        <f>+'NEW-Tables 80-86'!S110+'NEW-Tables 80-86'!S141</f>
        <v>9691.4666666666672</v>
      </c>
      <c r="BB172" s="83">
        <f>+'NEW-Tables 80-86'!T110+'NEW-Tables 80-86'!T141</f>
        <v>10613</v>
      </c>
      <c r="BC172" s="83">
        <f>+'NEW-Tables 80-86'!U110+'NEW-Tables 80-86'!U141</f>
        <v>6680.4</v>
      </c>
      <c r="BD172" s="112"/>
      <c r="BE172" s="83">
        <f>+'NEW-Tables 80-86'!V110+'NEW-Tables 80-86'!V141</f>
        <v>28922.400000000001</v>
      </c>
    </row>
    <row r="173" spans="1:62" ht="15" customHeight="1">
      <c r="A173" s="1" t="s">
        <v>427</v>
      </c>
      <c r="B173" s="33">
        <f>+'NEW-Tables 80-86'!B111+'NEW-Tables 80-86'!B142</f>
        <v>0</v>
      </c>
      <c r="C173" s="108">
        <f>+GETPIVOTDATA("Sum of New-HS % of Total",'Pivot-HS Student % of Undergrad'!$A$3,"State","MD","Category",7,"Category2","Two-Year")</f>
        <v>0</v>
      </c>
      <c r="D173" s="311">
        <f>+'NEW-Tables 80-86'!C111+'NEW-Tables 80-86'!C142</f>
        <v>53202.85</v>
      </c>
      <c r="E173" s="108">
        <f>+GETPIVOTDATA("Sum of New-HS % of Total",'Pivot-HS Student % of Undergrad'!$A$3,"State","MD","Category",8,"Category2","Two-Year")</f>
        <v>0</v>
      </c>
      <c r="F173" s="311">
        <f>+'NEW-Tables 80-86'!D111+'NEW-Tables 80-86'!D142</f>
        <v>27380.566666666666</v>
      </c>
      <c r="G173" s="108">
        <f>+GETPIVOTDATA("Sum of New-HS % of Total",'Pivot-HS Student % of Undergrad'!$A$3,"State","MD","Category",9,"Category2","Two-Year")</f>
        <v>0</v>
      </c>
      <c r="H173" s="311">
        <f>+'NEW-Tables 80-86'!E111+'NEW-Tables 80-86'!E142</f>
        <v>8742.4016666666666</v>
      </c>
      <c r="I173" s="108">
        <f>+GETPIVOTDATA("Sum of New-HS % of Total",'Pivot-HS Student % of Undergrad'!$A$3,"State","MD","Category",10,"Category2","Two-Year")</f>
        <v>0</v>
      </c>
      <c r="J173" s="311">
        <f>+'NEW-Tables 80-86'!F111+'NEW-Tables 80-86'!F142</f>
        <v>89325.818333333329</v>
      </c>
      <c r="K173" s="108">
        <f>+GETPIVOTDATA("Sum of New-HS % of Total",'Pivot-HS Student % of Undergrad'!$A$3,"State","MD","Category2","Group2")</f>
        <v>0</v>
      </c>
      <c r="Q173" s="1" t="s">
        <v>427</v>
      </c>
      <c r="R173" s="359">
        <f>+GETPIVOTDATA("Sum of Old-HS % of Total",'Pivot-HS Student % of Undergrad'!$A$3,"State","MD","Category",7,"Category2","Two-Year")</f>
        <v>0</v>
      </c>
      <c r="S173" s="393" t="e">
        <f>+'Pivot-HS Student % of Undergrad'!AG61*100</f>
        <v>#VALUE!</v>
      </c>
      <c r="T173" s="402">
        <f>+GETPIVOTDATA("Sum of Old-HS % of Total",'Pivot-HS Student % of Undergrad'!$A$3,"State","MD","Category",8,"Category2","Two-Year")</f>
        <v>0</v>
      </c>
      <c r="U173" s="393" t="e">
        <f>+'Pivot-HS Student % of Undergrad'!AH61*100</f>
        <v>#VALUE!</v>
      </c>
      <c r="V173" s="402">
        <f>+GETPIVOTDATA("Sum of Old-HS % of Total",'Pivot-HS Student % of Undergrad'!$A$3,"State","MD","Category",9,"Category2","Two-Year")</f>
        <v>0</v>
      </c>
      <c r="W173" s="393" t="e">
        <f>+'Pivot-HS Student % of Undergrad'!AI61*100</f>
        <v>#VALUE!</v>
      </c>
      <c r="X173" s="402">
        <f>+GETPIVOTDATA("Sum of Old-HS % of Total",'Pivot-HS Student % of Undergrad'!$A$3,"State","MD","Category",10,"Category2","Two-Year")</f>
        <v>0</v>
      </c>
      <c r="Y173" s="393" t="e">
        <f>+'Pivot-HS Student % of Undergrad'!AJ61*100</f>
        <v>#VALUE!</v>
      </c>
      <c r="Z173" s="402">
        <f>+GETPIVOTDATA("Sum of Old-HS % of Total",'Pivot-HS Student % of Undergrad'!$A$3,"State","MD","Category2","Two-Year")</f>
        <v>0</v>
      </c>
      <c r="AA173" s="393" t="e">
        <f>+'Pivot-HS Student % of Undergrad'!AK61*100</f>
        <v>#VALUE!</v>
      </c>
      <c r="AC173" s="190" t="s">
        <v>427</v>
      </c>
      <c r="AD173" s="205">
        <f>+'NEW-Tables 80-86'!R111+'NEW-Tables 80-86'!R142</f>
        <v>0</v>
      </c>
      <c r="AE173" s="205">
        <f>+'NEW-Tables 80-86'!S111+'NEW-Tables 80-86'!S142</f>
        <v>47629.51666666667</v>
      </c>
      <c r="AF173" s="205">
        <f>+'NEW-Tables 80-86'!T111+'NEW-Tables 80-86'!T142</f>
        <v>26577.733333333334</v>
      </c>
      <c r="AG173" s="205">
        <f>+'NEW-Tables 80-86'!U111+'NEW-Tables 80-86'!U142</f>
        <v>8075.9833333333336</v>
      </c>
      <c r="AH173" s="203">
        <f>+'NEW-Tables 80-86'!V111+'NEW-Tables 80-86'!V142</f>
        <v>82283.233333333337</v>
      </c>
      <c r="AJ173" s="112" t="s">
        <v>427</v>
      </c>
      <c r="AK173" s="83">
        <f t="shared" si="2"/>
        <v>0</v>
      </c>
      <c r="AL173" s="83">
        <f t="shared" si="3"/>
        <v>53202.85</v>
      </c>
      <c r="AM173" s="83">
        <f t="shared" si="4"/>
        <v>27380.566666666666</v>
      </c>
      <c r="AN173" s="83">
        <f t="shared" si="5"/>
        <v>8742.4016666666666</v>
      </c>
      <c r="AO173" s="83"/>
      <c r="AP173" s="83">
        <f t="shared" si="6"/>
        <v>89325.818333333329</v>
      </c>
      <c r="AY173" s="112" t="s">
        <v>427</v>
      </c>
      <c r="AZ173" s="83">
        <f>+'NEW-Tables 80-86'!R111+'NEW-Tables 80-86'!R142</f>
        <v>0</v>
      </c>
      <c r="BA173" s="83">
        <f>+'NEW-Tables 80-86'!S111+'NEW-Tables 80-86'!S142</f>
        <v>47629.51666666667</v>
      </c>
      <c r="BB173" s="83">
        <f>+'NEW-Tables 80-86'!T111+'NEW-Tables 80-86'!T142</f>
        <v>26577.733333333334</v>
      </c>
      <c r="BC173" s="83">
        <f>+'NEW-Tables 80-86'!U111+'NEW-Tables 80-86'!U142</f>
        <v>8075.9833333333336</v>
      </c>
      <c r="BD173" s="112"/>
      <c r="BE173" s="83">
        <f>+'NEW-Tables 80-86'!V111+'NEW-Tables 80-86'!V142</f>
        <v>82283.233333333337</v>
      </c>
    </row>
    <row r="174" spans="1:62" ht="12" customHeight="1">
      <c r="B174" s="33"/>
      <c r="C174" s="108"/>
      <c r="D174" s="311"/>
      <c r="E174" s="108"/>
      <c r="F174" s="311"/>
      <c r="G174" s="108"/>
      <c r="H174" s="311"/>
      <c r="I174" s="108"/>
      <c r="J174" s="311"/>
      <c r="K174" s="108"/>
      <c r="R174" s="359"/>
      <c r="S174" s="393"/>
      <c r="T174" s="402"/>
      <c r="U174" s="393"/>
      <c r="V174" s="402"/>
      <c r="W174" s="393"/>
      <c r="X174" s="402"/>
      <c r="Y174" s="393"/>
      <c r="Z174" s="402"/>
      <c r="AA174" s="393"/>
      <c r="AC174" s="190"/>
      <c r="AD174" s="205"/>
      <c r="AE174" s="205"/>
      <c r="AF174" s="205"/>
      <c r="AG174" s="205"/>
      <c r="AH174" s="203"/>
      <c r="AJ174" s="112"/>
      <c r="AK174" s="83"/>
      <c r="AL174" s="83"/>
      <c r="AM174" s="83"/>
      <c r="AN174" s="83"/>
      <c r="AO174" s="83"/>
      <c r="AP174" s="83"/>
      <c r="AY174" s="112"/>
      <c r="AZ174" s="83"/>
      <c r="BA174" s="83"/>
      <c r="BB174" s="83"/>
      <c r="BC174" s="83"/>
      <c r="BD174" s="112"/>
      <c r="BE174" s="83"/>
    </row>
    <row r="175" spans="1:62" ht="15" customHeight="1">
      <c r="A175" s="1" t="s">
        <v>428</v>
      </c>
      <c r="B175" s="33">
        <f>+'NEW-Tables 80-86'!B113+'NEW-Tables 80-86'!B144</f>
        <v>0</v>
      </c>
      <c r="C175" s="108">
        <f>+GETPIVOTDATA("Sum of New-HS % of Total",'Pivot-HS Student % of Undergrad'!$A$3,"State","MS","Category",7,"Category2","Two-Year")</f>
        <v>0</v>
      </c>
      <c r="D175" s="311">
        <f>+'NEW-Tables 80-86'!C113+'NEW-Tables 80-86'!C144</f>
        <v>23750.566666666666</v>
      </c>
      <c r="E175" s="108">
        <f>+GETPIVOTDATA("Sum of New-HS % of Total",'Pivot-HS Student % of Undergrad'!$A$3,"State","MS","Category",8,"Category2","Two-Year")</f>
        <v>8.4461142681507943E-3</v>
      </c>
      <c r="F175" s="311">
        <f>+'NEW-Tables 80-86'!D113+'NEW-Tables 80-86'!D144</f>
        <v>37715.266666666663</v>
      </c>
      <c r="G175" s="108">
        <f>+GETPIVOTDATA("Sum of New-HS % of Total",'Pivot-HS Student % of Undergrad'!$A$3,"State","MS","Category",9,"Category2","Two-Year")</f>
        <v>8.6339926006975074E-3</v>
      </c>
      <c r="H175" s="311">
        <f>+'NEW-Tables 80-86'!E113+'NEW-Tables 80-86'!E144</f>
        <v>3602.666666666667</v>
      </c>
      <c r="I175" s="108">
        <f>+GETPIVOTDATA("Sum of New-HS % of Total",'Pivot-HS Student % of Undergrad'!$A$3,"State","MS","Category",10,"Category2","Two-Year")</f>
        <v>1.4183937823834198E-2</v>
      </c>
      <c r="J175" s="311">
        <f>+'NEW-Tables 80-86'!F113+'NEW-Tables 80-86'!F144</f>
        <v>65068.499999999993</v>
      </c>
      <c r="K175" s="108">
        <f>+GETPIVOTDATA("Sum of New-HS % of Total",'Pivot-HS Student % of Undergrad'!$A$3,"State","MS","Category2","Group2")</f>
        <v>8.8727008204174569E-3</v>
      </c>
      <c r="Q175" s="1" t="s">
        <v>428</v>
      </c>
      <c r="R175" s="359">
        <f>+GETPIVOTDATA("Sum of Old-HS % of Total",'Pivot-HS Student % of Undergrad'!$A$3,"State","MS","Category",7,"Category2","Two-Year")</f>
        <v>0</v>
      </c>
      <c r="S175" s="393" t="e">
        <f>+'Pivot-HS Student % of Undergrad'!AG68*100</f>
        <v>#VALUE!</v>
      </c>
      <c r="T175" s="402">
        <f>+GETPIVOTDATA("Sum of Old-HS % of Total",'Pivot-HS Student % of Undergrad'!$A$3,"State","MS","Category",8,"Category2","Two-Year")</f>
        <v>7.9886425398729317E-3</v>
      </c>
      <c r="U175" s="393">
        <f>+'Pivot-HS Student % of Undergrad'!AH68*100</f>
        <v>4.5747172827786259E-2</v>
      </c>
      <c r="V175" s="402">
        <f>+GETPIVOTDATA("Sum of Old-HS % of Total",'Pivot-HS Student % of Undergrad'!$A$3,"State","MS","Category",9,"Category2","Two-Year")</f>
        <v>7.6510884932940691E-3</v>
      </c>
      <c r="W175" s="393">
        <f>+'Pivot-HS Student % of Undergrad'!AI68*100</f>
        <v>9.8290410740343837E-2</v>
      </c>
      <c r="X175" s="402">
        <f>+GETPIVOTDATA("Sum of Old-HS % of Total",'Pivot-HS Student % of Undergrad'!$A$3,"State","MS","Category",10,"Category2","Two-Year")</f>
        <v>1.388025466783854E-2</v>
      </c>
      <c r="Y175" s="393">
        <f>+'Pivot-HS Student % of Undergrad'!AJ68*100</f>
        <v>3.0368315599565814E-2</v>
      </c>
      <c r="Z175" s="402">
        <f>+GETPIVOTDATA("Sum of Old-HS % of Total",'Pivot-HS Student % of Undergrad'!$A$3,"State","MS","Category2","Two-Year")</f>
        <v>8.1046792774854218E-3</v>
      </c>
      <c r="AA175" s="393">
        <f>+'Pivot-HS Student % of Undergrad'!AK68*100</f>
        <v>7.6802154293203501E-2</v>
      </c>
      <c r="AC175" s="190" t="s">
        <v>428</v>
      </c>
      <c r="AD175" s="205">
        <f>+'NEW-Tables 80-86'!R113+'NEW-Tables 80-86'!R144</f>
        <v>0</v>
      </c>
      <c r="AE175" s="205">
        <f>+'NEW-Tables 80-86'!S113+'NEW-Tables 80-86'!S144</f>
        <v>21342.799999999999</v>
      </c>
      <c r="AF175" s="205">
        <f>+'NEW-Tables 80-86'!T113+'NEW-Tables 80-86'!T144</f>
        <v>34138.933333333334</v>
      </c>
      <c r="AG175" s="205">
        <f>+'NEW-Tables 80-86'!U113+'NEW-Tables 80-86'!U144</f>
        <v>3109.9333333333334</v>
      </c>
      <c r="AH175" s="203">
        <f>+'NEW-Tables 80-86'!V113+'NEW-Tables 80-86'!V144</f>
        <v>58591.666666666672</v>
      </c>
      <c r="AJ175" s="112" t="s">
        <v>428</v>
      </c>
      <c r="AK175" s="83">
        <f t="shared" si="2"/>
        <v>0</v>
      </c>
      <c r="AL175" s="83">
        <f t="shared" si="3"/>
        <v>23750.566666666666</v>
      </c>
      <c r="AM175" s="83">
        <f t="shared" si="4"/>
        <v>37715.266666666663</v>
      </c>
      <c r="AN175" s="83">
        <f t="shared" si="5"/>
        <v>3602.666666666667</v>
      </c>
      <c r="AO175" s="83"/>
      <c r="AP175" s="83">
        <f t="shared" si="6"/>
        <v>65068.499999999993</v>
      </c>
      <c r="AY175" s="112" t="s">
        <v>428</v>
      </c>
      <c r="AZ175" s="83">
        <f>+'NEW-Tables 80-86'!R113+'NEW-Tables 80-86'!R144</f>
        <v>0</v>
      </c>
      <c r="BA175" s="83">
        <f>+'NEW-Tables 80-86'!S113+'NEW-Tables 80-86'!S144</f>
        <v>21342.799999999999</v>
      </c>
      <c r="BB175" s="83">
        <f>+'NEW-Tables 80-86'!T113+'NEW-Tables 80-86'!T144</f>
        <v>34138.933333333334</v>
      </c>
      <c r="BC175" s="83">
        <f>+'NEW-Tables 80-86'!U113+'NEW-Tables 80-86'!U144</f>
        <v>3109.9333333333334</v>
      </c>
      <c r="BD175" s="112"/>
      <c r="BE175" s="83">
        <f>+'NEW-Tables 80-86'!V113+'NEW-Tables 80-86'!V144</f>
        <v>58591.666666666672</v>
      </c>
    </row>
    <row r="176" spans="1:62" ht="15" customHeight="1">
      <c r="A176" s="1" t="s">
        <v>429</v>
      </c>
      <c r="B176" s="33">
        <f>+'NEW-Tables 80-86'!B114+'NEW-Tables 80-86'!B145</f>
        <v>0</v>
      </c>
      <c r="C176" s="108">
        <f>+GETPIVOTDATA("Sum of New-HS % of Total",'Pivot-HS Student % of Undergrad'!$A$3,"State","NC","Category",7,"Category2","Two-Year")</f>
        <v>0</v>
      </c>
      <c r="D176" s="311">
        <f>+'NEW-Tables 80-86'!C114+'NEW-Tables 80-86'!C145</f>
        <v>117690</v>
      </c>
      <c r="E176" s="108">
        <f>+GETPIVOTDATA("Sum of New-HS % of Total",'Pivot-HS Student % of Undergrad'!$A$3,"State","NC","Category",8,"Category2","Two-Year")</f>
        <v>2.6529101877814595E-2</v>
      </c>
      <c r="F176" s="311">
        <f>+'NEW-Tables 80-86'!D114+'NEW-Tables 80-86'!D145</f>
        <v>121311</v>
      </c>
      <c r="G176" s="108">
        <f>+GETPIVOTDATA("Sum of New-HS % of Total",'Pivot-HS Student % of Undergrad'!$A$3,"State","NC","Category",9,"Category2","Two-Year")</f>
        <v>5.6297944951405887E-2</v>
      </c>
      <c r="H176" s="311">
        <f>+'NEW-Tables 80-86'!E114+'NEW-Tables 80-86'!E145</f>
        <v>20866</v>
      </c>
      <c r="I176" s="108">
        <f>+GETPIVOTDATA("Sum of New-HS % of Total",'Pivot-HS Student % of Undergrad'!$A$3,"State","NC","Category",10,"Category2","Two-Year")</f>
        <v>4.9757500239624268E-2</v>
      </c>
      <c r="J176" s="311">
        <f>+'NEW-Tables 80-86'!F114+'NEW-Tables 80-86'!F145</f>
        <v>259867</v>
      </c>
      <c r="K176" s="108">
        <f>+GETPIVOTDATA("Sum of New-HS % of Total",'Pivot-HS Student % of Undergrad'!$A$3,"State","NC","Category2","Group2")</f>
        <v>4.2290902654049972E-2</v>
      </c>
      <c r="Q176" s="1" t="s">
        <v>429</v>
      </c>
      <c r="R176" s="359">
        <f>+GETPIVOTDATA("Sum of Old-HS % of Total",'Pivot-HS Student % of Undergrad'!$A$3,"State","NC","Category",7,"Category2","Two-Year")</f>
        <v>0</v>
      </c>
      <c r="S176" s="393" t="e">
        <f>+'Pivot-HS Student % of Undergrad'!AG75*100</f>
        <v>#VALUE!</v>
      </c>
      <c r="T176" s="402">
        <f>+GETPIVOTDATA("Sum of Old-HS % of Total",'Pivot-HS Student % of Undergrad'!$A$3,"State","NC","Category",8,"Category2","Two-Year")</f>
        <v>2.8094799946880154E-2</v>
      </c>
      <c r="U176" s="393">
        <f>+'Pivot-HS Student % of Undergrad'!AH75*100</f>
        <v>-0.15656980690655597</v>
      </c>
      <c r="V176" s="402">
        <f>+GETPIVOTDATA("Sum of Old-HS % of Total",'Pivot-HS Student % of Undergrad'!$A$3,"State","NC","Category",9,"Category2","Two-Year")</f>
        <v>5.9737100873856655E-2</v>
      </c>
      <c r="W176" s="393">
        <f>+'Pivot-HS Student % of Undergrad'!AI75*100</f>
        <v>-0.34391559224507678</v>
      </c>
      <c r="X176" s="402">
        <f>+GETPIVOTDATA("Sum of Old-HS % of Total",'Pivot-HS Student % of Undergrad'!$A$3,"State","NC","Category",10,"Category2","Two-Year")</f>
        <v>5.1115731489982184E-2</v>
      </c>
      <c r="Y176" s="393">
        <f>+'Pivot-HS Student % of Undergrad'!AJ75*100</f>
        <v>-0.13582312503579164</v>
      </c>
      <c r="Z176" s="402">
        <f>+GETPIVOTDATA("Sum of Old-HS % of Total",'Pivot-HS Student % of Undergrad'!$A$3,"State","NC","Category2","Two-Year")</f>
        <v>4.4653464919283521E-2</v>
      </c>
      <c r="AA176" s="393">
        <f>+'Pivot-HS Student % of Undergrad'!AK75*100</f>
        <v>-0.2362562265233549</v>
      </c>
      <c r="AC176" s="190" t="s">
        <v>429</v>
      </c>
      <c r="AD176" s="205">
        <f>+'NEW-Tables 80-86'!R114+'NEW-Tables 80-86'!R145</f>
        <v>0</v>
      </c>
      <c r="AE176" s="205">
        <f>+'NEW-Tables 80-86'!S114+'NEW-Tables 80-86'!S145</f>
        <v>105422</v>
      </c>
      <c r="AF176" s="205">
        <f>+'NEW-Tables 80-86'!T114+'NEW-Tables 80-86'!T145</f>
        <v>107798</v>
      </c>
      <c r="AG176" s="205">
        <f>+'NEW-Tables 80-86'!U114+'NEW-Tables 80-86'!U145</f>
        <v>18517</v>
      </c>
      <c r="AH176" s="203">
        <f>+'NEW-Tables 80-86'!V114+'NEW-Tables 80-86'!V145</f>
        <v>231737</v>
      </c>
      <c r="AJ176" s="112" t="s">
        <v>429</v>
      </c>
      <c r="AK176" s="83">
        <f t="shared" si="2"/>
        <v>0</v>
      </c>
      <c r="AL176" s="83">
        <f t="shared" si="3"/>
        <v>117690</v>
      </c>
      <c r="AM176" s="83">
        <f t="shared" si="4"/>
        <v>121311</v>
      </c>
      <c r="AN176" s="83">
        <f t="shared" si="5"/>
        <v>20866</v>
      </c>
      <c r="AO176" s="83"/>
      <c r="AP176" s="83">
        <f t="shared" si="6"/>
        <v>259867</v>
      </c>
      <c r="AY176" s="112" t="s">
        <v>429</v>
      </c>
      <c r="AZ176" s="83">
        <f>+'NEW-Tables 80-86'!R114+'NEW-Tables 80-86'!R145</f>
        <v>0</v>
      </c>
      <c r="BA176" s="83">
        <f>+'NEW-Tables 80-86'!S114+'NEW-Tables 80-86'!S145</f>
        <v>105422</v>
      </c>
      <c r="BB176" s="83">
        <f>+'NEW-Tables 80-86'!T114+'NEW-Tables 80-86'!T145</f>
        <v>107798</v>
      </c>
      <c r="BC176" s="83">
        <f>+'NEW-Tables 80-86'!U114+'NEW-Tables 80-86'!U145</f>
        <v>18517</v>
      </c>
      <c r="BD176" s="112"/>
      <c r="BE176" s="83">
        <f>+'NEW-Tables 80-86'!V114+'NEW-Tables 80-86'!V145</f>
        <v>231737</v>
      </c>
    </row>
    <row r="177" spans="1:62" ht="15" customHeight="1">
      <c r="A177" s="1" t="s">
        <v>430</v>
      </c>
      <c r="B177" s="33">
        <f>+'NEW-Tables 80-86'!B115+'NEW-Tables 80-86'!B146</f>
        <v>3285.2</v>
      </c>
      <c r="C177" s="108">
        <f>+GETPIVOTDATA("Sum of New-HS % of Total",'Pivot-HS Student % of Undergrad'!$A$3,"State","OK","Category",7,"Category2","Two-Year")</f>
        <v>1.1688786070863266E-2</v>
      </c>
      <c r="D177" s="311">
        <f>+'NEW-Tables 80-86'!C115+'NEW-Tables 80-86'!C146</f>
        <v>21310.9</v>
      </c>
      <c r="E177" s="108">
        <f>+GETPIVOTDATA("Sum of New-HS % of Total",'Pivot-HS Student % of Undergrad'!$A$3,"State","OK","Category",8,"Category2","Two-Year")</f>
        <v>2.643873948699179E-2</v>
      </c>
      <c r="F177" s="311">
        <f>+'NEW-Tables 80-86'!D115+'NEW-Tables 80-86'!D146</f>
        <v>12911.733333333334</v>
      </c>
      <c r="G177" s="108">
        <f>+GETPIVOTDATA("Sum of New-HS % of Total",'Pivot-HS Student % of Undergrad'!$A$3,"State","OK","Category",9,"Category2","Two-Year")</f>
        <v>1.6372704929882898E-2</v>
      </c>
      <c r="H177" s="311">
        <f>+'NEW-Tables 80-86'!E115+'NEW-Tables 80-86'!E146</f>
        <v>13226.1</v>
      </c>
      <c r="I177" s="108">
        <f>+GETPIVOTDATA("Sum of New-HS % of Total",'Pivot-HS Student % of Undergrad'!$A$3,"State","OK","Category",10,"Category2","Two-Year")</f>
        <v>4.6914812378554528E-2</v>
      </c>
      <c r="J177" s="311">
        <f>+'NEW-Tables 80-86'!F115+'NEW-Tables 80-86'!F146</f>
        <v>50733.933333333334</v>
      </c>
      <c r="K177" s="108">
        <f>+GETPIVOTDATA("Sum of New-HS % of Total",'Pivot-HS Student % of Undergrad'!$A$3,"State","OK","Category2","Group2")</f>
        <v>2.825984975210543E-2</v>
      </c>
      <c r="Q177" s="1" t="s">
        <v>430</v>
      </c>
      <c r="R177" s="359">
        <f>+GETPIVOTDATA("Sum of Old-HS % of Total",'Pivot-HS Student % of Undergrad'!$A$3,"State","OK","Category",7,"Category2","Two-Year")</f>
        <v>1.1968024708180043E-2</v>
      </c>
      <c r="S177" s="393">
        <f>+'Pivot-HS Student % of Undergrad'!AG82*100</f>
        <v>-2.7923863731677684E-2</v>
      </c>
      <c r="T177" s="402">
        <f>+GETPIVOTDATA("Sum of Old-HS % of Total",'Pivot-HS Student % of Undergrad'!$A$3,"State","OK","Category",8,"Category2","Two-Year")</f>
        <v>2.2327494082773836E-2</v>
      </c>
      <c r="U177" s="393">
        <f>+'Pivot-HS Student % of Undergrad'!AH82*100</f>
        <v>0.41112454042179536</v>
      </c>
      <c r="V177" s="402">
        <f>+GETPIVOTDATA("Sum of Old-HS % of Total",'Pivot-HS Student % of Undergrad'!$A$3,"State","OK","Category",9,"Category2","Two-Year")</f>
        <v>2.08825406064948E-2</v>
      </c>
      <c r="W177" s="393">
        <f>+'Pivot-HS Student % of Undergrad'!AI82*100</f>
        <v>-0.45098356766119019</v>
      </c>
      <c r="X177" s="402">
        <f>+GETPIVOTDATA("Sum of Old-HS % of Total",'Pivot-HS Student % of Undergrad'!$A$3,"State","OK","Category",10,"Category2","Two-Year")</f>
        <v>4.2426902764319215E-2</v>
      </c>
      <c r="Y177" s="393">
        <f>+'Pivot-HS Student % of Undergrad'!AJ82*100</f>
        <v>0.44879096142353136</v>
      </c>
      <c r="Z177" s="402">
        <f>+GETPIVOTDATA("Sum of Old-HS % of Total",'Pivot-HS Student % of Undergrad'!$A$3,"State","OK","Category2","Two-Year")</f>
        <v>2.6546943319604516E-2</v>
      </c>
      <c r="AA177" s="393">
        <f>+'Pivot-HS Student % of Undergrad'!AK82*100</f>
        <v>0.17129064325009136</v>
      </c>
      <c r="AC177" s="190" t="s">
        <v>430</v>
      </c>
      <c r="AD177" s="205">
        <f>+'NEW-Tables 80-86'!R115+'NEW-Tables 80-86'!R146</f>
        <v>2935.6</v>
      </c>
      <c r="AE177" s="205">
        <f>+'NEW-Tables 80-86'!S115+'NEW-Tables 80-86'!S146</f>
        <v>19308.033333333333</v>
      </c>
      <c r="AF177" s="205">
        <f>+'NEW-Tables 80-86'!T115+'NEW-Tables 80-86'!T146</f>
        <v>11911.066666666666</v>
      </c>
      <c r="AG177" s="205">
        <f>+'NEW-Tables 80-86'!U115+'NEW-Tables 80-86'!U146</f>
        <v>12074.1</v>
      </c>
      <c r="AH177" s="203">
        <f>+'NEW-Tables 80-86'!V115+'NEW-Tables 80-86'!V146</f>
        <v>46228.799999999996</v>
      </c>
      <c r="AJ177" s="112" t="s">
        <v>430</v>
      </c>
      <c r="AK177" s="83">
        <f t="shared" si="2"/>
        <v>3285.2</v>
      </c>
      <c r="AL177" s="83">
        <f t="shared" si="3"/>
        <v>21310.9</v>
      </c>
      <c r="AM177" s="83">
        <f t="shared" si="4"/>
        <v>12911.733333333334</v>
      </c>
      <c r="AN177" s="83">
        <f t="shared" si="5"/>
        <v>13226.1</v>
      </c>
      <c r="AO177" s="83"/>
      <c r="AP177" s="83">
        <f t="shared" si="6"/>
        <v>50733.933333333334</v>
      </c>
      <c r="AY177" s="112" t="s">
        <v>430</v>
      </c>
      <c r="AZ177" s="83">
        <f>+'NEW-Tables 80-86'!R115+'NEW-Tables 80-86'!R146</f>
        <v>2935.6</v>
      </c>
      <c r="BA177" s="83">
        <f>+'NEW-Tables 80-86'!S115+'NEW-Tables 80-86'!S146</f>
        <v>19308.033333333333</v>
      </c>
      <c r="BB177" s="83">
        <f>+'NEW-Tables 80-86'!T115+'NEW-Tables 80-86'!T146</f>
        <v>11911.066666666666</v>
      </c>
      <c r="BC177" s="83">
        <f>+'NEW-Tables 80-86'!U115+'NEW-Tables 80-86'!U146</f>
        <v>12074.1</v>
      </c>
      <c r="BD177" s="112"/>
      <c r="BE177" s="83">
        <f>+'NEW-Tables 80-86'!V115+'NEW-Tables 80-86'!V146</f>
        <v>46228.799999999996</v>
      </c>
    </row>
    <row r="178" spans="1:62" ht="15" customHeight="1">
      <c r="A178" s="1" t="s">
        <v>431</v>
      </c>
      <c r="B178" s="33">
        <f>+'NEW-Tables 80-86'!B116+'NEW-Tables 80-86'!B147</f>
        <v>0</v>
      </c>
      <c r="C178" s="108">
        <f>+GETPIVOTDATA("Sum of New-HS % of Total",'Pivot-HS Student % of Undergrad'!$A$3,"State","SC","Category",7,"Category2","Two-Year")</f>
        <v>0</v>
      </c>
      <c r="D178" s="311">
        <f>+'NEW-Tables 80-86'!C116+'NEW-Tables 80-86'!C147</f>
        <v>32399.699999999997</v>
      </c>
      <c r="E178" s="108">
        <f>+GETPIVOTDATA("Sum of New-HS % of Total",'Pivot-HS Student % of Undergrad'!$A$3,"State","SC","Category",8,"Category2","Two-Year")</f>
        <v>1.6150355301643739E-2</v>
      </c>
      <c r="F178" s="311">
        <f>+'NEW-Tables 80-86'!D116+'NEW-Tables 80-86'!D147</f>
        <v>36350.366666666669</v>
      </c>
      <c r="G178" s="108">
        <f>+GETPIVOTDATA("Sum of New-HS % of Total",'Pivot-HS Student % of Undergrad'!$A$3,"State","SC","Category",9,"Category2","Two-Year")</f>
        <v>3.207487132179318E-2</v>
      </c>
      <c r="H178" s="311">
        <f>+'NEW-Tables 80-86'!E116+'NEW-Tables 80-86'!E147</f>
        <v>7466.7</v>
      </c>
      <c r="I178" s="108">
        <f>+GETPIVOTDATA("Sum of New-HS % of Total",'Pivot-HS Student % of Undergrad'!$A$3,"State","SC","Category",10,"Category2","Two-Year")</f>
        <v>5.6682782666148811E-2</v>
      </c>
      <c r="J178" s="311">
        <f>+'NEW-Tables 80-86'!F116+'NEW-Tables 80-86'!F147</f>
        <v>76216.766666666663</v>
      </c>
      <c r="K178" s="108">
        <f>+GETPIVOTDATA("Sum of New-HS % of Total",'Pivot-HS Student % of Undergrad'!$A$3,"State","SC","Category2","Group2")</f>
        <v>2.771612370506402E-2</v>
      </c>
      <c r="Q178" s="1" t="s">
        <v>431</v>
      </c>
      <c r="R178" s="359">
        <f>+GETPIVOTDATA("Sum of Old-HS % of Total",'Pivot-HS Student % of Undergrad'!$A$3,"State","SC","Category",7,"Category2","Two-Year")</f>
        <v>0</v>
      </c>
      <c r="S178" s="393" t="e">
        <f>+'Pivot-HS Student % of Undergrad'!AG89*100</f>
        <v>#VALUE!</v>
      </c>
      <c r="T178" s="402">
        <f>+GETPIVOTDATA("Sum of Old-HS % of Total",'Pivot-HS Student % of Undergrad'!$A$3,"State","SC","Category",8,"Category2","Two-Year")</f>
        <v>1.4222892847554829E-2</v>
      </c>
      <c r="U178" s="393">
        <f>+'Pivot-HS Student % of Undergrad'!AH89*100</f>
        <v>0.19274624540889101</v>
      </c>
      <c r="V178" s="402">
        <f>+GETPIVOTDATA("Sum of Old-HS % of Total",'Pivot-HS Student % of Undergrad'!$A$3,"State","SC","Category",9,"Category2","Two-Year")</f>
        <v>3.287888737505399E-2</v>
      </c>
      <c r="W178" s="393">
        <f>+'Pivot-HS Student % of Undergrad'!AI89*100</f>
        <v>-8.040160532608101E-2</v>
      </c>
      <c r="X178" s="402">
        <f>+GETPIVOTDATA("Sum of Old-HS % of Total",'Pivot-HS Student % of Undergrad'!$A$3,"State","SC","Category",10,"Category2","Two-Year")</f>
        <v>6.2112133948718479E-2</v>
      </c>
      <c r="Y178" s="393">
        <f>+'Pivot-HS Student % of Undergrad'!AJ89*100</f>
        <v>-0.54293512825696677</v>
      </c>
      <c r="Z178" s="402">
        <f>+GETPIVOTDATA("Sum of Old-HS % of Total",'Pivot-HS Student % of Undergrad'!$A$3,"State","SC","Category2","Two-Year")</f>
        <v>2.7787749603817247E-2</v>
      </c>
      <c r="AA178" s="394">
        <f>+'Pivot-HS Student % of Undergrad'!AK89*100</f>
        <v>-7.1625898753226863E-3</v>
      </c>
      <c r="AC178" s="190" t="s">
        <v>431</v>
      </c>
      <c r="AD178" s="205">
        <f>+'NEW-Tables 80-86'!R116+'NEW-Tables 80-86'!R147</f>
        <v>0</v>
      </c>
      <c r="AE178" s="205">
        <f>+'NEW-Tables 80-86'!S116+'NEW-Tables 80-86'!S147</f>
        <v>29262.682666666668</v>
      </c>
      <c r="AF178" s="205">
        <f>+'NEW-Tables 80-86'!T116+'NEW-Tables 80-86'!T147</f>
        <v>31398.061666666668</v>
      </c>
      <c r="AG178" s="205">
        <f>+'NEW-Tables 80-86'!U116+'NEW-Tables 80-86'!U147</f>
        <v>6907.3996666666662</v>
      </c>
      <c r="AH178" s="203">
        <f>+'NEW-Tables 80-86'!V116+'NEW-Tables 80-86'!V147</f>
        <v>67568.144</v>
      </c>
      <c r="AJ178" s="112" t="s">
        <v>431</v>
      </c>
      <c r="AK178" s="83">
        <f t="shared" si="2"/>
        <v>0</v>
      </c>
      <c r="AL178" s="83">
        <f t="shared" si="3"/>
        <v>32399.699999999997</v>
      </c>
      <c r="AM178" s="83">
        <f t="shared" si="4"/>
        <v>36350.366666666669</v>
      </c>
      <c r="AN178" s="83">
        <f t="shared" si="5"/>
        <v>7466.7</v>
      </c>
      <c r="AO178" s="83"/>
      <c r="AP178" s="83">
        <f t="shared" si="6"/>
        <v>76216.766666666663</v>
      </c>
      <c r="AY178" s="112" t="s">
        <v>431</v>
      </c>
      <c r="AZ178" s="83">
        <f>+'NEW-Tables 80-86'!R116+'NEW-Tables 80-86'!R147</f>
        <v>0</v>
      </c>
      <c r="BA178" s="83">
        <f>+'NEW-Tables 80-86'!S116+'NEW-Tables 80-86'!S147</f>
        <v>29262.682666666668</v>
      </c>
      <c r="BB178" s="83">
        <f>+'NEW-Tables 80-86'!T116+'NEW-Tables 80-86'!T147</f>
        <v>31398.061666666668</v>
      </c>
      <c r="BC178" s="83">
        <f>+'NEW-Tables 80-86'!U116+'NEW-Tables 80-86'!U147</f>
        <v>6907.3996666666662</v>
      </c>
      <c r="BD178" s="112"/>
      <c r="BE178" s="83">
        <f>+'NEW-Tables 80-86'!V116+'NEW-Tables 80-86'!V147</f>
        <v>67568.144</v>
      </c>
    </row>
    <row r="179" spans="1:62" ht="15" customHeight="1">
      <c r="B179" s="33"/>
      <c r="C179" s="108"/>
      <c r="D179" s="311"/>
      <c r="E179" s="108"/>
      <c r="F179" s="311"/>
      <c r="G179" s="108"/>
      <c r="H179" s="311"/>
      <c r="I179" s="108"/>
      <c r="J179" s="311"/>
      <c r="K179" s="108"/>
      <c r="R179" s="359"/>
      <c r="S179" s="393"/>
      <c r="T179" s="402"/>
      <c r="U179" s="393"/>
      <c r="V179" s="402"/>
      <c r="W179" s="393"/>
      <c r="X179" s="402"/>
      <c r="Y179" s="393"/>
      <c r="Z179" s="402"/>
      <c r="AA179" s="393"/>
      <c r="AC179" s="190"/>
      <c r="AD179" s="205"/>
      <c r="AE179" s="205"/>
      <c r="AF179" s="205"/>
      <c r="AG179" s="205"/>
      <c r="AH179" s="203"/>
      <c r="AJ179" s="112"/>
      <c r="AK179" s="83"/>
      <c r="AL179" s="83"/>
      <c r="AM179" s="83"/>
      <c r="AN179" s="83"/>
      <c r="AO179" s="83"/>
      <c r="AP179" s="83"/>
      <c r="AY179" s="112"/>
      <c r="AZ179" s="83"/>
      <c r="BA179" s="83"/>
      <c r="BB179" s="83"/>
      <c r="BC179" s="83"/>
      <c r="BD179" s="112"/>
      <c r="BE179" s="83"/>
    </row>
    <row r="180" spans="1:62" ht="15" customHeight="1">
      <c r="A180" s="1" t="s">
        <v>432</v>
      </c>
      <c r="B180" s="33">
        <f>+'NEW-Tables 80-86'!B118+'NEW-Tables 80-86'!B149</f>
        <v>0</v>
      </c>
      <c r="C180" s="108">
        <f>+GETPIVOTDATA("Sum of New-HS % of Total",'Pivot-HS Student % of Undergrad'!$A$3,"State","TN","Category",7,"Category2","Two-Year")</f>
        <v>0</v>
      </c>
      <c r="D180" s="311">
        <f>+'NEW-Tables 80-86'!C118+'NEW-Tables 80-86'!C149</f>
        <v>21776.166666666668</v>
      </c>
      <c r="E180" s="108">
        <f>+GETPIVOTDATA("Sum of New-HS % of Total",'Pivot-HS Student % of Undergrad'!$A$3,"State","TN","Category",8,"Category2","Two-Year")</f>
        <v>2.5751394873600342E-2</v>
      </c>
      <c r="F180" s="311">
        <f>+'NEW-Tables 80-86'!D118+'NEW-Tables 80-86'!D149</f>
        <v>36785.23333333333</v>
      </c>
      <c r="G180" s="108">
        <f>+GETPIVOTDATA("Sum of New-HS % of Total",'Pivot-HS Student % of Undergrad'!$A$3,"State","TN","Category",9,"Category2","Two-Year")</f>
        <v>4.0949402704164806E-2</v>
      </c>
      <c r="H180" s="311">
        <f>+'NEW-Tables 80-86'!E118+'NEW-Tables 80-86'!E149</f>
        <v>2059.5</v>
      </c>
      <c r="I180" s="108">
        <f>+GETPIVOTDATA("Sum of New-HS % of Total",'Pivot-HS Student % of Undergrad'!$A$3,"State","TN","Category",10,"Category2","Two-Year")</f>
        <v>6.1406490248442178E-2</v>
      </c>
      <c r="J180" s="311">
        <f>+'NEW-Tables 80-86'!F118+'NEW-Tables 80-86'!F149</f>
        <v>60620.899999999994</v>
      </c>
      <c r="K180" s="108">
        <f>+GETPIVOTDATA("Sum of New-HS % of Total",'Pivot-HS Student % of Undergrad'!$A$3,"State","TN","Category2","Group2")</f>
        <v>3.6184990105172746E-2</v>
      </c>
      <c r="Q180" s="1" t="s">
        <v>432</v>
      </c>
      <c r="R180" s="359">
        <f>+GETPIVOTDATA("Sum of Old-HS % of Total",'Pivot-HS Student % of Undergrad'!$A$3,"State","TN","Category",7,"Category2","Two-Year")</f>
        <v>0</v>
      </c>
      <c r="S180" s="393" t="e">
        <f>+'Pivot-HS Student % of Undergrad'!AG96*100</f>
        <v>#VALUE!</v>
      </c>
      <c r="T180" s="402">
        <f>+GETPIVOTDATA("Sum of Old-HS % of Total",'Pivot-HS Student % of Undergrad'!$A$3,"State","TN","Category",8,"Category2","Two-Year")</f>
        <v>2.6299342646277216E-2</v>
      </c>
      <c r="U180" s="393">
        <f>+'Pivot-HS Student % of Undergrad'!AH96*100</f>
        <v>-5.4794777267687389E-2</v>
      </c>
      <c r="V180" s="402">
        <f>+GETPIVOTDATA("Sum of Old-HS % of Total",'Pivot-HS Student % of Undergrad'!$A$3,"State","TN","Category",9,"Category2","Two-Year")</f>
        <v>3.7697776913272488E-2</v>
      </c>
      <c r="W180" s="393">
        <f>+'Pivot-HS Student % of Undergrad'!AI96*100</f>
        <v>0.3251625790892318</v>
      </c>
      <c r="X180" s="402">
        <f>+GETPIVOTDATA("Sum of Old-HS % of Total",'Pivot-HS Student % of Undergrad'!$A$3,"State","TN","Category",10,"Category2","Two-Year")</f>
        <v>7.0408598812618836E-2</v>
      </c>
      <c r="Y180" s="393">
        <f>+'Pivot-HS Student % of Undergrad'!AJ96*100</f>
        <v>-0.90021085641766585</v>
      </c>
      <c r="Z180" s="402">
        <f>+GETPIVOTDATA("Sum of Old-HS % of Total",'Pivot-HS Student % of Undergrad'!$A$3,"State","TN","Category2","Two-Year")</f>
        <v>3.4647898198954391E-2</v>
      </c>
      <c r="AA180" s="393">
        <f>+'Pivot-HS Student % of Undergrad'!AK96*100</f>
        <v>0.15370919062183547</v>
      </c>
      <c r="AC180" s="190" t="s">
        <v>432</v>
      </c>
      <c r="AD180" s="205">
        <f>+'NEW-Tables 80-86'!R118+'NEW-Tables 80-86'!R149</f>
        <v>0</v>
      </c>
      <c r="AE180" s="205">
        <f>+'NEW-Tables 80-86'!S118+'NEW-Tables 80-86'!S149</f>
        <v>19253.966666666667</v>
      </c>
      <c r="AF180" s="205">
        <f>+'NEW-Tables 80-86'!T118+'NEW-Tables 80-86'!T149</f>
        <v>32559.833333333332</v>
      </c>
      <c r="AG180" s="205">
        <f>+'NEW-Tables 80-86'!U118+'NEW-Tables 80-86'!U149</f>
        <v>1718.0666666666666</v>
      </c>
      <c r="AH180" s="203">
        <f>+'NEW-Tables 80-86'!V118+'NEW-Tables 80-86'!V149</f>
        <v>53531.866666666669</v>
      </c>
      <c r="AJ180" s="112" t="s">
        <v>432</v>
      </c>
      <c r="AK180" s="83">
        <f t="shared" si="2"/>
        <v>0</v>
      </c>
      <c r="AL180" s="83">
        <f t="shared" si="3"/>
        <v>21776.166666666668</v>
      </c>
      <c r="AM180" s="83">
        <f t="shared" si="4"/>
        <v>36785.23333333333</v>
      </c>
      <c r="AN180" s="83">
        <f t="shared" si="5"/>
        <v>2059.5</v>
      </c>
      <c r="AO180" s="83"/>
      <c r="AP180" s="83">
        <f t="shared" si="6"/>
        <v>60620.899999999994</v>
      </c>
      <c r="AY180" s="112" t="s">
        <v>432</v>
      </c>
      <c r="AZ180" s="83">
        <f>+'NEW-Tables 80-86'!R118+'NEW-Tables 80-86'!R149</f>
        <v>0</v>
      </c>
      <c r="BA180" s="83">
        <f>+'NEW-Tables 80-86'!S118+'NEW-Tables 80-86'!S149</f>
        <v>19253.966666666667</v>
      </c>
      <c r="BB180" s="83">
        <f>+'NEW-Tables 80-86'!T118+'NEW-Tables 80-86'!T149</f>
        <v>32559.833333333332</v>
      </c>
      <c r="BC180" s="83">
        <f>+'NEW-Tables 80-86'!U118+'NEW-Tables 80-86'!U149</f>
        <v>1718.0666666666666</v>
      </c>
      <c r="BD180" s="112"/>
      <c r="BE180" s="83">
        <f>+'NEW-Tables 80-86'!V118+'NEW-Tables 80-86'!V149</f>
        <v>53531.866666666669</v>
      </c>
    </row>
    <row r="181" spans="1:62" ht="15" customHeight="1">
      <c r="A181" s="1" t="s">
        <v>433</v>
      </c>
      <c r="B181" s="33">
        <f>+'NEW-Tables 80-86'!B119+'NEW-Tables 80-86'!B150</f>
        <v>22004.126666666667</v>
      </c>
      <c r="C181" s="359">
        <f>+GETPIVOTDATA("Sum of New-HS % of Total",'Pivot-HS Student % of Undergrad'!$A$3,"State","TX","Category",7,"Category2","Two-Year")</f>
        <v>0.16242047090512238</v>
      </c>
      <c r="D181" s="311">
        <f>+'NEW-Tables 80-86'!C119+'NEW-Tables 80-86'!C150</f>
        <v>318344.2888888889</v>
      </c>
      <c r="E181" s="359">
        <f>+GETPIVOTDATA("Sum of New-HS % of Total",'Pivot-HS Student % of Undergrad'!$A$3,"State","TX","Category",8,"Category2","Two-Year")</f>
        <v>5.7984109495217893E-2</v>
      </c>
      <c r="F181" s="311">
        <f>+'NEW-Tables 80-86'!D119+'NEW-Tables 80-86'!D150</f>
        <v>103717.77666666669</v>
      </c>
      <c r="G181" s="359">
        <f>+GETPIVOTDATA("Sum of New-HS % of Total",'Pivot-HS Student % of Undergrad'!$A$3,"State","TX","Category",9,"Category2","Two-Year")</f>
        <v>8.3718842805157595E-2</v>
      </c>
      <c r="H181" s="311">
        <f>+'NEW-Tables 80-86'!E119+'NEW-Tables 80-86'!E150</f>
        <v>15200.925555555554</v>
      </c>
      <c r="I181" s="359">
        <f>+GETPIVOTDATA("Sum of New-HS % of Total",'Pivot-HS Student % of Undergrad'!$A$3,"State","TX","Category",10,"Category2","Two-Year")</f>
        <v>8.690634061086E-2</v>
      </c>
      <c r="J181" s="311">
        <f>+'NEW-Tables 80-86'!F119+'NEW-Tables 80-86'!F150</f>
        <v>459267.11777777778</v>
      </c>
      <c r="K181" s="359">
        <f>+GETPIVOTDATA("Sum of New-HS % of Total",'Pivot-HS Student % of Undergrad'!$A$3,"State","TX","Category2","Group2")</f>
        <v>6.9671042703745537E-2</v>
      </c>
      <c r="Q181" s="1" t="s">
        <v>433</v>
      </c>
      <c r="R181" s="359">
        <f>+GETPIVOTDATA("Sum of Old-HS % of Total",'Pivot-HS Student % of Undergrad'!$A$3,"State","TX","Category",7,"Category2","Two-Year")</f>
        <v>0.15684414320399437</v>
      </c>
      <c r="S181" s="393">
        <f>+'Pivot-HS Student % of Undergrad'!AG103*100</f>
        <v>0.55763277011280088</v>
      </c>
      <c r="T181" s="402">
        <f>+GETPIVOTDATA("Sum of Old-HS % of Total",'Pivot-HS Student % of Undergrad'!$A$3,"State","TX","Category",8,"Category2","Two-Year")</f>
        <v>5.470031406001459E-2</v>
      </c>
      <c r="U181" s="393">
        <f>+'Pivot-HS Student % of Undergrad'!AH103*100</f>
        <v>0.32837954352033027</v>
      </c>
      <c r="V181" s="402">
        <f>+GETPIVOTDATA("Sum of Old-HS % of Total",'Pivot-HS Student % of Undergrad'!$A$3,"State","TX","Category",9,"Category2","Two-Year")</f>
        <v>7.2175028581038234E-2</v>
      </c>
      <c r="W181" s="393">
        <f>+'Pivot-HS Student % of Undergrad'!AI103*100</f>
        <v>1.1543814224119362</v>
      </c>
      <c r="X181" s="402">
        <f>+GETPIVOTDATA("Sum of Old-HS % of Total",'Pivot-HS Student % of Undergrad'!$A$3,"State","TX","Category",10,"Category2","Two-Year")</f>
        <v>7.9173385596268825E-2</v>
      </c>
      <c r="Y181" s="393">
        <f>+'Pivot-HS Student % of Undergrad'!AJ103*100</f>
        <v>0.77329550145911752</v>
      </c>
      <c r="Z181" s="402">
        <f>+GETPIVOTDATA("Sum of Old-HS % of Total",'Pivot-HS Student % of Undergrad'!$A$3,"State","TX","Category2","Two-Year")</f>
        <v>6.417233666240954E-2</v>
      </c>
      <c r="AA181" s="393">
        <f>+'Pivot-HS Student % of Undergrad'!AK103*100</f>
        <v>0.54987060413359967</v>
      </c>
      <c r="AC181" s="190" t="s">
        <v>433</v>
      </c>
      <c r="AD181" s="205">
        <f>+'NEW-Tables 80-86'!R119+'NEW-Tables 80-86'!R150</f>
        <v>19405.971111111114</v>
      </c>
      <c r="AE181" s="205">
        <f>+'NEW-Tables 80-86'!S119+'NEW-Tables 80-86'!S150</f>
        <v>291109.36222222226</v>
      </c>
      <c r="AF181" s="205">
        <f>+'NEW-Tables 80-86'!T119+'NEW-Tables 80-86'!T150</f>
        <v>93786.058888888889</v>
      </c>
      <c r="AG181" s="205">
        <f>+'NEW-Tables 80-86'!U119+'NEW-Tables 80-86'!U150</f>
        <v>14660.586666666664</v>
      </c>
      <c r="AH181" s="203">
        <f>+'NEW-Tables 80-86'!V119+'NEW-Tables 80-86'!V150</f>
        <v>418961.97888888896</v>
      </c>
      <c r="AJ181" s="112" t="s">
        <v>433</v>
      </c>
      <c r="AK181" s="83">
        <f t="shared" si="2"/>
        <v>22004.126666666667</v>
      </c>
      <c r="AL181" s="396">
        <f>+'FTE Pivot for regular counts'!AD167</f>
        <v>248498.81555555557</v>
      </c>
      <c r="AM181" s="396">
        <f>+'FTE Pivot for regular counts'!AE167</f>
        <v>85407.005555555559</v>
      </c>
      <c r="AN181" s="396">
        <f>+'FTE Pivot for regular counts'!AF167</f>
        <v>14780.805555555555</v>
      </c>
      <c r="AO181" s="396">
        <f>+'FTE Pivot for regular counts'!AG167</f>
        <v>88576.364444444451</v>
      </c>
      <c r="AP181" s="83">
        <f t="shared" si="6"/>
        <v>459267.11777777778</v>
      </c>
      <c r="AY181" s="112" t="s">
        <v>433</v>
      </c>
      <c r="AZ181" s="83">
        <f>+'NEW-Tables 80-86'!R119+'NEW-Tables 80-86'!R150</f>
        <v>19405.971111111114</v>
      </c>
      <c r="BA181" s="396">
        <f>+'FTE Pivot for regular counts'!AB170</f>
        <v>0</v>
      </c>
      <c r="BB181" s="396">
        <f>+'FTE Pivot for regular counts'!AE170</f>
        <v>77736.924444444434</v>
      </c>
      <c r="BC181" s="396">
        <f>+'FTE Pivot for regular counts'!AF170</f>
        <v>14363.986666666666</v>
      </c>
      <c r="BD181" s="396">
        <f>+'FTE Pivot for regular counts'!AG170</f>
        <v>80275.305555555577</v>
      </c>
      <c r="BE181" s="83">
        <f>+'NEW-Tables 80-86'!V119+'NEW-Tables 80-86'!V150</f>
        <v>418961.97888888896</v>
      </c>
    </row>
    <row r="182" spans="1:62" ht="15" customHeight="1">
      <c r="A182" s="1" t="s">
        <v>434</v>
      </c>
      <c r="B182" s="33">
        <f>+'NEW-Tables 80-86'!B120+'NEW-Tables 80-86'!B151</f>
        <v>0</v>
      </c>
      <c r="C182" s="359">
        <f>+GETPIVOTDATA("Sum of New-HS % of Total",'Pivot-HS Student % of Undergrad'!$A$3,"State","VA","Category",7,"Category2","Two-Year")</f>
        <v>0</v>
      </c>
      <c r="D182" s="311">
        <f>+'NEW-Tables 80-86'!C120+'NEW-Tables 80-86'!C151</f>
        <v>64904.333333333328</v>
      </c>
      <c r="E182" s="359">
        <f>+GETPIVOTDATA("Sum of New-HS % of Total",'Pivot-HS Student % of Undergrad'!$A$3,"State","VA","Category",8,"Category2","Two-Year")</f>
        <v>4.2989939038482278E-2</v>
      </c>
      <c r="F182" s="311">
        <f>+'NEW-Tables 80-86'!D120+'NEW-Tables 80-86'!D151</f>
        <v>36315.5</v>
      </c>
      <c r="G182" s="359">
        <f>+GETPIVOTDATA("Sum of New-HS % of Total",'Pivot-HS Student % of Undergrad'!$A$3,"State","VA","Category",9,"Category2","Two-Year")</f>
        <v>0.20712735149821243</v>
      </c>
      <c r="H182" s="311">
        <f>+'NEW-Tables 80-86'!E120+'NEW-Tables 80-86'!E151</f>
        <v>16512.366666666669</v>
      </c>
      <c r="I182" s="359">
        <f>+GETPIVOTDATA("Sum of New-HS % of Total",'Pivot-HS Student % of Undergrad'!$A$3,"State","VA","Category",10,"Category2","Two-Year")</f>
        <v>0.23344725468386321</v>
      </c>
      <c r="J182" s="311">
        <f>+'NEW-Tables 80-86'!F120+'NEW-Tables 80-86'!F151</f>
        <v>117732.2</v>
      </c>
      <c r="K182" s="359">
        <f>+GETPIVOTDATA("Sum of New-HS % of Total",'Pivot-HS Student % of Undergrad'!$A$3,"State","VA","Category2","Group2")</f>
        <v>0.12033184917408604</v>
      </c>
      <c r="Q182" s="1" t="s">
        <v>434</v>
      </c>
      <c r="R182" s="359">
        <f>+GETPIVOTDATA("Sum of Old-HS % of Total",'Pivot-HS Student % of Undergrad'!$A$3,"State","VA","Category",7,"Category2","Two-Year")</f>
        <v>0</v>
      </c>
      <c r="S182" s="393" t="e">
        <f>+'Pivot-HS Student % of Undergrad'!AG110*100</f>
        <v>#VALUE!</v>
      </c>
      <c r="T182" s="402">
        <f>+GETPIVOTDATA("Sum of Old-HS % of Total",'Pivot-HS Student % of Undergrad'!$A$3,"State","VA","Category",8,"Category2","Two-Year")</f>
        <v>3.4860843558028487E-2</v>
      </c>
      <c r="U182" s="393">
        <f>+'Pivot-HS Student % of Undergrad'!AH110*100</f>
        <v>0.81290954804537907</v>
      </c>
      <c r="V182" s="402">
        <f>+GETPIVOTDATA("Sum of Old-HS % of Total",'Pivot-HS Student % of Undergrad'!$A$3,"State","VA","Category",9,"Category2","Two-Year")</f>
        <v>0.14180100408837673</v>
      </c>
      <c r="W182" s="393">
        <f>+'Pivot-HS Student % of Undergrad'!AI110*100</f>
        <v>6.5326347409835703</v>
      </c>
      <c r="X182" s="402">
        <f>+GETPIVOTDATA("Sum of Old-HS % of Total",'Pivot-HS Student % of Undergrad'!$A$3,"State","VA","Category",10,"Category2","Two-Year")</f>
        <v>0.18467194339607262</v>
      </c>
      <c r="Y182" s="393">
        <f>+'Pivot-HS Student % of Undergrad'!AJ110*100</f>
        <v>4.8775311287790588</v>
      </c>
      <c r="Z182" s="402">
        <f>+GETPIVOTDATA("Sum of Old-HS % of Total",'Pivot-HS Student % of Undergrad'!$A$3,"State","VA","Category2","Two-Year")</f>
        <v>8.7461688333884027E-2</v>
      </c>
      <c r="AA182" s="393">
        <f>+'Pivot-HS Student % of Undergrad'!AK110*100</f>
        <v>3.2870160840202014</v>
      </c>
      <c r="AC182" s="190" t="s">
        <v>434</v>
      </c>
      <c r="AD182" s="205">
        <f>+'NEW-Tables 80-86'!R120+'NEW-Tables 80-86'!R151</f>
        <v>0</v>
      </c>
      <c r="AE182" s="205">
        <f>+'NEW-Tables 80-86'!S120+'NEW-Tables 80-86'!S151</f>
        <v>58434.233333333337</v>
      </c>
      <c r="AF182" s="205">
        <f>+'NEW-Tables 80-86'!T120+'NEW-Tables 80-86'!T151</f>
        <v>34618.466666666667</v>
      </c>
      <c r="AG182" s="205">
        <f>+'NEW-Tables 80-86'!U120+'NEW-Tables 80-86'!U151</f>
        <v>12267.699999999999</v>
      </c>
      <c r="AH182" s="203">
        <f>+'NEW-Tables 80-86'!V120+'NEW-Tables 80-86'!V151</f>
        <v>105320.40000000001</v>
      </c>
      <c r="AJ182" s="110" t="s">
        <v>434</v>
      </c>
      <c r="AK182" s="83">
        <f t="shared" si="2"/>
        <v>0</v>
      </c>
      <c r="AL182" s="83">
        <f>+D182</f>
        <v>64904.333333333328</v>
      </c>
      <c r="AM182" s="83">
        <f>+F182</f>
        <v>36315.5</v>
      </c>
      <c r="AN182" s="396">
        <v>1022</v>
      </c>
      <c r="AO182" s="396">
        <f>+AP182-AN182</f>
        <v>116710.2</v>
      </c>
      <c r="AP182" s="83">
        <f t="shared" si="6"/>
        <v>117732.2</v>
      </c>
      <c r="AY182" s="112" t="s">
        <v>434</v>
      </c>
      <c r="AZ182" s="83">
        <f>+'NEW-Tables 80-86'!R120+'NEW-Tables 80-86'!R151</f>
        <v>0</v>
      </c>
      <c r="BA182" s="83">
        <f>+'NEW-Tables 80-86'!S120+'NEW-Tables 80-86'!S151</f>
        <v>58434.233333333337</v>
      </c>
      <c r="BB182" s="83">
        <f>+'NEW-Tables 80-86'!T120+'NEW-Tables 80-86'!T151</f>
        <v>34618.466666666667</v>
      </c>
      <c r="BC182" s="396">
        <v>928</v>
      </c>
      <c r="BD182" s="396">
        <f>+BE182-BC182</f>
        <v>104392.40000000001</v>
      </c>
      <c r="BE182" s="83">
        <f>+'NEW-Tables 80-86'!V120+'NEW-Tables 80-86'!V151</f>
        <v>105320.40000000001</v>
      </c>
    </row>
    <row r="183" spans="1:62" ht="15" customHeight="1">
      <c r="A183" s="3" t="s">
        <v>435</v>
      </c>
      <c r="B183" s="9">
        <f>+'NEW-Tables 80-86'!B121+'NEW-Tables 80-86'!B152</f>
        <v>4469.8333333333339</v>
      </c>
      <c r="C183" s="361">
        <f>+GETPIVOTDATA("Sum of New-HS % of Total",'Pivot-HS Student % of Undergrad'!$A$3,"State","WV","Category",7,"Category2","Two-Year")</f>
        <v>4.9241209590215891E-2</v>
      </c>
      <c r="D183" s="312">
        <f>+'NEW-Tables 80-86'!C121+'NEW-Tables 80-86'!C152</f>
        <v>0</v>
      </c>
      <c r="E183" s="361">
        <f>+GETPIVOTDATA("Sum of New-HS % of Total",'Pivot-HS Student % of Undergrad'!$A$3,"State","WV","Category",8,"Category2","Two-Year")</f>
        <v>0</v>
      </c>
      <c r="F183" s="312">
        <f>+'NEW-Tables 80-86'!D121+'NEW-Tables 80-86'!D152</f>
        <v>0</v>
      </c>
      <c r="G183" s="361">
        <f>+GETPIVOTDATA("Sum of New-HS % of Total",'Pivot-HS Student % of Undergrad'!$A$3,"State","WV","Category",9,"Category2","Two-Year")</f>
        <v>0</v>
      </c>
      <c r="H183" s="312">
        <f>+'NEW-Tables 80-86'!E121+'NEW-Tables 80-86'!E152</f>
        <v>13079.67</v>
      </c>
      <c r="I183" s="361">
        <f>+GETPIVOTDATA("Sum of New-HS % of Total",'Pivot-HS Student % of Undergrad'!$A$3,"State","WV","Category",10,"Category2","Two-Year")</f>
        <v>4.6489705015493508E-2</v>
      </c>
      <c r="J183" s="312">
        <f>+'NEW-Tables 80-86'!F121+'NEW-Tables 80-86'!F152</f>
        <v>17549.503333333334</v>
      </c>
      <c r="K183" s="361">
        <f>+GETPIVOTDATA("Sum of New-HS % of Total",'Pivot-HS Student % of Undergrad'!$A$3,"State","WV","Category2","Group2")</f>
        <v>4.7190509285068086E-2</v>
      </c>
      <c r="Q183" s="3" t="s">
        <v>435</v>
      </c>
      <c r="R183" s="361">
        <f>+GETPIVOTDATA("Sum of Old-HS % of Total",'Pivot-HS Student % of Undergrad'!$A$3,"State","WV","Category",7,"Category2","Two-Year")</f>
        <v>5.2350152359285612E-2</v>
      </c>
      <c r="S183" s="401">
        <f>+'Pivot-HS Student % of Undergrad'!AG117*100</f>
        <v>-0.31089427690697213</v>
      </c>
      <c r="T183" s="403">
        <f>+GETPIVOTDATA("Sum of Old-HS % of Total",'Pivot-HS Student % of Undergrad'!$A$3,"State","WV","Category",8,"Category2","Two-Year")</f>
        <v>0</v>
      </c>
      <c r="U183" s="401" t="e">
        <f>+'Pivot-HS Student % of Undergrad'!AH117*100</f>
        <v>#VALUE!</v>
      </c>
      <c r="V183" s="403">
        <f>+GETPIVOTDATA("Sum of Old-HS % of Total",'Pivot-HS Student % of Undergrad'!$A$3,"State","WV","Category",9,"Category2","Two-Year")</f>
        <v>0</v>
      </c>
      <c r="W183" s="401" t="e">
        <f>+'Pivot-HS Student % of Undergrad'!AI117*100</f>
        <v>#VALUE!</v>
      </c>
      <c r="X183" s="403">
        <f>+GETPIVOTDATA("Sum of Old-HS % of Total",'Pivot-HS Student % of Undergrad'!$A$3,"State","WV","Category",10,"Category2","Two-Year")</f>
        <v>5.3224765864498688E-2</v>
      </c>
      <c r="Y183" s="412">
        <f>+'Pivot-HS Student % of Undergrad'!AJ117*100</f>
        <v>-0.673506084900518</v>
      </c>
      <c r="Z183" s="403">
        <f>+GETPIVOTDATA("Sum of Old-HS % of Total",'Pivot-HS Student % of Undergrad'!$A$3,"State","WV","Category2","Two-Year")</f>
        <v>5.3003543958207541E-2</v>
      </c>
      <c r="AA183" s="401">
        <f>+'Pivot-HS Student % of Undergrad'!AK117*100</f>
        <v>-0.58130346731394555</v>
      </c>
      <c r="AC183" s="411" t="s">
        <v>435</v>
      </c>
      <c r="AD183" s="208">
        <f>+'NEW-Tables 80-86'!R121+'NEW-Tables 80-86'!R152</f>
        <v>4014.6333333333332</v>
      </c>
      <c r="AE183" s="208">
        <f>+'NEW-Tables 80-86'!S121+'NEW-Tables 80-86'!S152</f>
        <v>0</v>
      </c>
      <c r="AF183" s="208">
        <f>+'NEW-Tables 80-86'!T121+'NEW-Tables 80-86'!T152</f>
        <v>0</v>
      </c>
      <c r="AG183" s="208">
        <f>+'NEW-Tables 80-86'!U121+'NEW-Tables 80-86'!U152</f>
        <v>11857.45</v>
      </c>
      <c r="AH183" s="410">
        <f>+'NEW-Tables 80-86'!V121+'NEW-Tables 80-86'!V152</f>
        <v>15872.083333333334</v>
      </c>
      <c r="AI183" s="3"/>
      <c r="AJ183" s="25" t="s">
        <v>435</v>
      </c>
      <c r="AK183" s="83">
        <f t="shared" si="2"/>
        <v>4469.8333333333339</v>
      </c>
      <c r="AL183" s="83">
        <f>+D183</f>
        <v>0</v>
      </c>
      <c r="AM183" s="83">
        <f>+F183</f>
        <v>0</v>
      </c>
      <c r="AN183" s="83">
        <f>+H183</f>
        <v>13079.67</v>
      </c>
      <c r="AO183" s="189"/>
      <c r="AP183" s="83">
        <f t="shared" si="6"/>
        <v>17549.503333333334</v>
      </c>
      <c r="AQ183" s="25"/>
      <c r="AV183" s="25"/>
      <c r="AW183" s="25"/>
      <c r="AX183" s="25"/>
      <c r="AY183" s="110" t="s">
        <v>435</v>
      </c>
      <c r="AZ183" s="83">
        <f>+'NEW-Tables 80-86'!R121+'NEW-Tables 80-86'!R152</f>
        <v>4014.6333333333332</v>
      </c>
      <c r="BA183" s="83">
        <f>+'NEW-Tables 80-86'!S121+'NEW-Tables 80-86'!S152</f>
        <v>0</v>
      </c>
      <c r="BB183" s="83">
        <f>+'NEW-Tables 80-86'!T121+'NEW-Tables 80-86'!T152</f>
        <v>0</v>
      </c>
      <c r="BC183" s="83">
        <f>+'NEW-Tables 80-86'!U121+'NEW-Tables 80-86'!U152</f>
        <v>11857.45</v>
      </c>
      <c r="BD183" s="112"/>
      <c r="BE183" s="83">
        <f>+'NEW-Tables 80-86'!V121+'NEW-Tables 80-86'!V152</f>
        <v>15872.083333333334</v>
      </c>
      <c r="BF183" s="25"/>
      <c r="BG183" s="25"/>
      <c r="BH183" s="25"/>
      <c r="BI183" s="25"/>
      <c r="BJ183" s="25"/>
    </row>
    <row r="184" spans="1:62" s="25" customFormat="1" ht="46.5" customHeight="1">
      <c r="A184" s="789" t="s">
        <v>80</v>
      </c>
      <c r="B184" s="789"/>
      <c r="C184" s="789"/>
      <c r="D184" s="789"/>
      <c r="E184" s="789"/>
      <c r="F184" s="789"/>
      <c r="G184" s="789"/>
      <c r="H184" s="789"/>
      <c r="I184" s="789"/>
      <c r="J184" s="789"/>
      <c r="K184" s="790"/>
      <c r="L184" s="115"/>
      <c r="M184" s="115"/>
      <c r="Q184" s="1"/>
      <c r="R184" s="1"/>
      <c r="S184" s="1"/>
    </row>
    <row r="185" spans="1:62">
      <c r="J185" s="1"/>
      <c r="K185" s="307" t="s">
        <v>876</v>
      </c>
      <c r="L185" s="1"/>
      <c r="M185" s="346"/>
      <c r="AF185" s="112"/>
      <c r="AG185" s="112"/>
      <c r="AH185" s="112"/>
      <c r="AI185" s="112"/>
      <c r="AJ185" s="112"/>
      <c r="AK185" s="112"/>
      <c r="AL185" s="112"/>
      <c r="AQ185" s="112"/>
      <c r="AR185" s="112"/>
      <c r="AS185" s="112"/>
      <c r="AT185" s="112"/>
      <c r="AU185" s="112"/>
      <c r="AV185" s="112"/>
      <c r="AW185" s="112"/>
      <c r="BB185" s="112"/>
      <c r="BC185" s="112"/>
    </row>
    <row r="186" spans="1:62" ht="18">
      <c r="A186" s="127" t="s">
        <v>928</v>
      </c>
      <c r="B186" s="22"/>
      <c r="C186" s="22"/>
      <c r="D186" s="22"/>
      <c r="E186" s="22"/>
      <c r="F186" s="22"/>
      <c r="G186" s="22"/>
      <c r="H186" s="118"/>
      <c r="I186" s="22"/>
      <c r="J186" s="1"/>
      <c r="K186" s="1"/>
      <c r="L186" s="1"/>
      <c r="M186" s="346"/>
      <c r="S186" s="307"/>
      <c r="AL186" s="112"/>
      <c r="AQ186" s="112"/>
      <c r="AR186" s="112"/>
      <c r="AS186" s="145"/>
      <c r="AT186" s="144"/>
      <c r="AU186" s="83"/>
      <c r="AV186" s="144"/>
      <c r="AW186" s="112"/>
      <c r="BB186" s="112"/>
      <c r="BC186" s="112"/>
    </row>
    <row r="187" spans="1:62" ht="13.5" customHeight="1">
      <c r="A187" s="21"/>
      <c r="B187" s="22"/>
      <c r="C187" s="22"/>
      <c r="D187" s="22"/>
      <c r="E187" s="22"/>
      <c r="F187" s="22"/>
      <c r="G187" s="22"/>
      <c r="H187" s="118"/>
      <c r="I187" s="22"/>
      <c r="J187" s="1"/>
      <c r="K187" s="1"/>
      <c r="L187" s="1"/>
      <c r="M187" s="346"/>
      <c r="S187" s="307"/>
      <c r="AA187" s="139" t="s">
        <v>390</v>
      </c>
      <c r="AB187" s="391" t="s">
        <v>820</v>
      </c>
      <c r="AL187" s="112"/>
      <c r="AM187" s="177" t="s">
        <v>391</v>
      </c>
      <c r="AN187" s="112"/>
      <c r="AO187" s="112"/>
      <c r="AP187" s="112"/>
      <c r="AQ187" s="112"/>
      <c r="AR187" s="112"/>
      <c r="AS187" s="145"/>
      <c r="AT187" s="144"/>
      <c r="AU187" s="83"/>
      <c r="AV187" s="144"/>
      <c r="AW187" s="112"/>
      <c r="AX187" s="177" t="s">
        <v>391</v>
      </c>
      <c r="AY187" s="112"/>
      <c r="AZ187" s="112"/>
      <c r="BA187" s="112"/>
      <c r="BB187" s="112"/>
      <c r="BC187" s="112"/>
    </row>
    <row r="188" spans="1:62" ht="15.75">
      <c r="A188" s="44" t="s">
        <v>388</v>
      </c>
      <c r="B188" s="22"/>
      <c r="C188" s="22"/>
      <c r="D188" s="22"/>
      <c r="E188" s="22"/>
      <c r="F188" s="22"/>
      <c r="G188" s="22"/>
      <c r="H188" s="118"/>
      <c r="I188" s="22"/>
      <c r="J188" s="1"/>
      <c r="K188" s="1"/>
      <c r="L188" s="1"/>
      <c r="M188" s="346"/>
      <c r="S188" s="307"/>
      <c r="AA188" s="190"/>
      <c r="AB188" s="139" t="s">
        <v>390</v>
      </c>
      <c r="AL188" s="112"/>
      <c r="AM188" s="178" t="s">
        <v>620</v>
      </c>
      <c r="AN188" s="112"/>
      <c r="AO188" s="112"/>
      <c r="AP188" s="112"/>
      <c r="AQ188" s="112"/>
      <c r="AR188" s="112"/>
      <c r="AS188" s="145"/>
      <c r="AT188" s="144"/>
      <c r="AU188" s="83"/>
      <c r="AV188" s="144"/>
      <c r="AW188" s="112"/>
      <c r="AX188" s="178" t="s">
        <v>390</v>
      </c>
      <c r="AY188" s="112"/>
      <c r="AZ188" s="112"/>
      <c r="BA188" s="112"/>
      <c r="BB188" s="112"/>
      <c r="BC188" s="112"/>
    </row>
    <row r="189" spans="1:62" ht="15.75">
      <c r="A189" s="44" t="s">
        <v>874</v>
      </c>
      <c r="B189" s="22"/>
      <c r="C189" s="22"/>
      <c r="D189" s="22"/>
      <c r="E189" s="22"/>
      <c r="F189" s="22"/>
      <c r="G189" s="22"/>
      <c r="H189" s="118"/>
      <c r="I189" s="22"/>
      <c r="J189" s="1"/>
      <c r="K189" s="1"/>
      <c r="L189" s="1"/>
      <c r="M189" s="346"/>
      <c r="Q189" s="139" t="s">
        <v>390</v>
      </c>
      <c r="S189" s="307"/>
      <c r="AA189" s="190"/>
      <c r="AB189" s="190"/>
      <c r="AL189" s="112"/>
      <c r="AM189" s="112"/>
      <c r="AN189" s="112"/>
      <c r="AO189" s="112"/>
      <c r="AP189" s="112"/>
      <c r="AQ189" s="112"/>
      <c r="AR189" s="112"/>
      <c r="AS189" s="145"/>
      <c r="AT189" s="144"/>
      <c r="AU189" s="83"/>
      <c r="AV189" s="144"/>
      <c r="AW189" s="112"/>
      <c r="AX189" s="112"/>
      <c r="AY189" s="112"/>
      <c r="AZ189" s="112"/>
      <c r="BA189" s="112"/>
      <c r="BB189" s="112"/>
      <c r="BC189" s="112"/>
    </row>
    <row r="190" spans="1:62">
      <c r="C190" s="3"/>
      <c r="D190" s="3"/>
      <c r="E190" s="3"/>
      <c r="F190" s="3"/>
      <c r="G190" s="3"/>
      <c r="H190" s="86"/>
      <c r="I190" s="3"/>
      <c r="J190" s="1"/>
      <c r="K190" s="1"/>
      <c r="L190" s="1"/>
      <c r="M190" s="346"/>
      <c r="Q190" s="408" t="s">
        <v>825</v>
      </c>
      <c r="R190" s="3"/>
      <c r="S190" s="3"/>
      <c r="T190" s="3"/>
      <c r="U190" s="3"/>
      <c r="V190" s="3"/>
      <c r="W190" s="3"/>
      <c r="X190" s="3"/>
      <c r="Y190" s="3"/>
      <c r="AA190" s="190"/>
      <c r="AB190" s="137" t="s">
        <v>391</v>
      </c>
      <c r="AL190" s="112"/>
      <c r="AM190" s="177" t="s">
        <v>391</v>
      </c>
      <c r="AN190" s="112"/>
      <c r="AO190" s="112"/>
      <c r="AP190" s="112"/>
      <c r="AQ190" s="112"/>
      <c r="AR190" s="112"/>
      <c r="AS190" s="145"/>
      <c r="AT190" s="144"/>
      <c r="AU190" s="83"/>
      <c r="AV190" s="144"/>
      <c r="AW190" s="112"/>
      <c r="AX190" s="177" t="s">
        <v>391</v>
      </c>
      <c r="AY190" s="112"/>
      <c r="AZ190" s="112"/>
      <c r="BA190" s="112"/>
      <c r="BB190" s="112"/>
      <c r="BC190" s="112"/>
    </row>
    <row r="191" spans="1:62" ht="28.5" customHeight="1">
      <c r="A191" s="46"/>
      <c r="B191" s="656">
        <v>1</v>
      </c>
      <c r="D191" s="385">
        <v>2</v>
      </c>
      <c r="F191" s="395" t="s">
        <v>379</v>
      </c>
      <c r="G191" s="22"/>
      <c r="H191" s="386" t="s">
        <v>382</v>
      </c>
      <c r="J191" s="1"/>
      <c r="K191" s="1"/>
      <c r="L191" s="1"/>
      <c r="M191" s="346"/>
      <c r="Q191" s="77"/>
      <c r="R191" s="77" t="s">
        <v>829</v>
      </c>
      <c r="S191" s="25"/>
      <c r="T191" s="409">
        <v>2</v>
      </c>
      <c r="U191" s="25"/>
      <c r="V191" s="409" t="s">
        <v>830</v>
      </c>
      <c r="W191" s="25"/>
      <c r="X191" s="409" t="s">
        <v>11</v>
      </c>
      <c r="Y191" s="25"/>
      <c r="AA191" s="190"/>
      <c r="AB191" s="193" t="s">
        <v>397</v>
      </c>
      <c r="AC191" s="194"/>
      <c r="AD191" s="195"/>
      <c r="AE191" s="196"/>
      <c r="AL191" s="112"/>
      <c r="AM191" s="181" t="s">
        <v>397</v>
      </c>
      <c r="AN191" s="182"/>
      <c r="AO191" s="183"/>
      <c r="AP191" s="184"/>
      <c r="AQ191" s="112"/>
      <c r="AR191" s="112"/>
      <c r="AS191" s="145"/>
      <c r="AT191" s="144"/>
      <c r="AU191" s="83"/>
      <c r="AV191" s="144"/>
      <c r="AW191" s="112"/>
      <c r="AX191" s="181" t="s">
        <v>397</v>
      </c>
      <c r="AY191" s="182"/>
      <c r="AZ191" s="183"/>
      <c r="BA191" s="184"/>
      <c r="BB191" s="112"/>
      <c r="BC191" s="112"/>
    </row>
    <row r="192" spans="1:62" ht="78" customHeight="1">
      <c r="A192" s="352"/>
      <c r="B192" s="353" t="s">
        <v>605</v>
      </c>
      <c r="C192" s="304" t="s">
        <v>72</v>
      </c>
      <c r="D192" s="354" t="s">
        <v>605</v>
      </c>
      <c r="E192" s="304" t="s">
        <v>72</v>
      </c>
      <c r="F192" s="354" t="s">
        <v>605</v>
      </c>
      <c r="G192" s="304" t="s">
        <v>72</v>
      </c>
      <c r="H192" s="354" t="s">
        <v>605</v>
      </c>
      <c r="I192" s="304" t="s">
        <v>72</v>
      </c>
      <c r="J192" s="1"/>
      <c r="K192" s="1"/>
      <c r="L192" s="1"/>
      <c r="M192" s="346"/>
      <c r="Q192" s="3"/>
      <c r="R192" s="398" t="s">
        <v>30</v>
      </c>
      <c r="S192" s="398" t="s">
        <v>32</v>
      </c>
      <c r="T192" s="400" t="s">
        <v>30</v>
      </c>
      <c r="U192" s="398" t="s">
        <v>32</v>
      </c>
      <c r="V192" s="400" t="s">
        <v>30</v>
      </c>
      <c r="W192" s="398" t="s">
        <v>32</v>
      </c>
      <c r="X192" s="400" t="s">
        <v>30</v>
      </c>
      <c r="Y192" s="398" t="s">
        <v>32</v>
      </c>
      <c r="AA192" s="190"/>
      <c r="AB192" s="199">
        <v>1</v>
      </c>
      <c r="AC192" s="200">
        <v>2</v>
      </c>
      <c r="AD192" s="197" t="s">
        <v>379</v>
      </c>
      <c r="AE192" s="198" t="s">
        <v>382</v>
      </c>
      <c r="AL192" s="112"/>
      <c r="AM192" s="187">
        <v>1</v>
      </c>
      <c r="AN192" s="188">
        <v>2</v>
      </c>
      <c r="AO192" s="185" t="s">
        <v>379</v>
      </c>
      <c r="AP192" s="186" t="s">
        <v>382</v>
      </c>
      <c r="AQ192" s="112"/>
      <c r="AR192" s="112"/>
      <c r="AS192" s="145"/>
      <c r="AT192" s="144"/>
      <c r="AU192" s="83"/>
      <c r="AV192" s="144"/>
      <c r="AW192" s="112"/>
      <c r="AX192" s="187">
        <v>1</v>
      </c>
      <c r="AY192" s="188">
        <v>2</v>
      </c>
      <c r="AZ192" s="185" t="s">
        <v>379</v>
      </c>
      <c r="BA192" s="186" t="s">
        <v>382</v>
      </c>
      <c r="BB192" s="112"/>
      <c r="BC192" s="112"/>
    </row>
    <row r="193" spans="1:55">
      <c r="A193" s="1" t="s">
        <v>420</v>
      </c>
      <c r="B193" s="33">
        <f>+'NEW-Tables 80-86'!G101+'NEW-Tables 80-86'!G132</f>
        <v>97418.848888888897</v>
      </c>
      <c r="D193" s="313">
        <f>+'NEW-Tables 80-86'!H101+'NEW-Tables 80-86'!H132</f>
        <v>38752.838722222215</v>
      </c>
      <c r="F193" s="311">
        <f>+'NEW-Tables 80-86'!I101+'NEW-Tables 80-86'!I132</f>
        <v>16730.460555555554</v>
      </c>
      <c r="H193" s="313">
        <f>+'NEW-Tables 80-86'!J101+'NEW-Tables 80-86'!J132</f>
        <v>152902.14816666668</v>
      </c>
      <c r="J193" s="1"/>
      <c r="K193" s="1"/>
      <c r="L193" s="1"/>
      <c r="M193" s="346"/>
      <c r="Q193" s="25" t="s">
        <v>420</v>
      </c>
      <c r="R193" s="404">
        <f>+GETPIVOTDATA("Sum of Old-HS % of Total",'Pivot-HS Student % of Undergrad'!$A$3,"Category",12,"Category2","Technical")</f>
        <v>3.3333504295235711E-2</v>
      </c>
      <c r="S193" s="394" t="e">
        <f>+'Pivot-HS Student % of Undergrad'!AL125*100</f>
        <v>#VALUE!</v>
      </c>
      <c r="T193" s="402">
        <f>+GETPIVOTDATA("Sum of Old-HS % of Total",'Pivot-HS Student % of Undergrad'!$A$3,"Category",13,"Category2","Technical")</f>
        <v>6.4598108986980513E-2</v>
      </c>
      <c r="U193" s="393" t="e">
        <f>+'Pivot-HS Student % of Undergrad'!AM125*100</f>
        <v>#VALUE!</v>
      </c>
      <c r="V193" s="402">
        <f>+GETPIVOTDATA("Sum of Old-HS % of Total",'Pivot-HS Student % of Undergrad'!$A$3,"Category",14,"Category2","Technical")</f>
        <v>0.11545802317064657</v>
      </c>
      <c r="W193" s="393" t="e">
        <f>+'Pivot-HS Student % of Undergrad'!AN125*100</f>
        <v>#VALUE!</v>
      </c>
      <c r="X193" s="402">
        <f>+GETPIVOTDATA("Sum of Old-HS % of Total",'Pivot-HS Student % of Undergrad'!$A$3,"Category2","Technical")</f>
        <v>4.3371293883823415E-2</v>
      </c>
      <c r="Y193" s="393" t="e">
        <f>+'Pivot-HS Student % of Undergrad'!AO125*100</f>
        <v>#VALUE!</v>
      </c>
      <c r="AA193" s="190" t="s">
        <v>420</v>
      </c>
      <c r="AB193" s="202">
        <f>+'NEW-Tables 80-86'!W101+'NEW-Tables 80-86'!W132</f>
        <v>82707.03306666667</v>
      </c>
      <c r="AC193" s="204">
        <f>+'NEW-Tables 80-86'!X101+'NEW-Tables 80-86'!X132</f>
        <v>36175.061844444441</v>
      </c>
      <c r="AD193" s="202">
        <f>+'NEW-Tables 80-86'!Y101+'NEW-Tables 80-86'!Y132</f>
        <v>14183.737222222222</v>
      </c>
      <c r="AE193" s="204">
        <f>+'NEW-Tables 80-86'!Z101+'NEW-Tables 80-86'!Z132</f>
        <v>133065.83213333334</v>
      </c>
      <c r="AL193" s="112" t="s">
        <v>420</v>
      </c>
      <c r="AM193" s="84">
        <f>SUM(AM195:AM213)</f>
        <v>97418.848888888897</v>
      </c>
      <c r="AN193" s="83">
        <f>SUM(AN195:AN213)</f>
        <v>38752.838722222215</v>
      </c>
      <c r="AO193" s="83">
        <f>SUM(AO195:AO213)</f>
        <v>16730.460555555554</v>
      </c>
      <c r="AP193" s="83">
        <f>SUM(AP195:AP213)</f>
        <v>152902.14816666668</v>
      </c>
      <c r="AQ193" s="112"/>
      <c r="AR193" s="112"/>
      <c r="AS193" s="145"/>
      <c r="AT193" s="144"/>
      <c r="AU193" s="83"/>
      <c r="AV193" s="144"/>
      <c r="AW193" s="112" t="s">
        <v>420</v>
      </c>
      <c r="AX193" s="83">
        <f>SUM(AX195:AX213)</f>
        <v>82707.03306666667</v>
      </c>
      <c r="AY193" s="83">
        <f>SUM(AY195:AY213)</f>
        <v>36175.061844444441</v>
      </c>
      <c r="AZ193" s="83">
        <f>SUM(AZ195:AZ213)</f>
        <v>14183.737222222222</v>
      </c>
      <c r="BA193" s="83">
        <f>SUM(BA195:BA213)</f>
        <v>133065.83213333334</v>
      </c>
      <c r="BB193" s="112"/>
      <c r="BC193" s="112"/>
    </row>
    <row r="194" spans="1:55">
      <c r="A194" s="653"/>
      <c r="B194" s="657"/>
      <c r="C194" s="649" t="s">
        <v>944</v>
      </c>
      <c r="D194" s="655" t="s">
        <v>380</v>
      </c>
      <c r="E194" s="649" t="s">
        <v>945</v>
      </c>
      <c r="F194" s="652" t="s">
        <v>380</v>
      </c>
      <c r="G194" s="649" t="s">
        <v>946</v>
      </c>
      <c r="H194" s="655" t="s">
        <v>380</v>
      </c>
      <c r="I194" s="649" t="s">
        <v>947</v>
      </c>
      <c r="J194" s="1" t="s">
        <v>380</v>
      </c>
      <c r="K194" s="1"/>
      <c r="L194" s="1"/>
      <c r="M194" s="346"/>
      <c r="Q194" s="25"/>
      <c r="R194" s="359"/>
      <c r="S194" s="393"/>
      <c r="T194" s="402"/>
      <c r="U194" s="393"/>
      <c r="V194" s="402"/>
      <c r="W194" s="393"/>
      <c r="X194" s="402"/>
      <c r="Y194" s="393"/>
      <c r="AA194" s="190"/>
      <c r="AB194" s="206"/>
      <c r="AC194" s="190"/>
      <c r="AD194" s="139"/>
      <c r="AE194" s="190"/>
      <c r="AL194" s="112"/>
      <c r="AM194" s="83"/>
      <c r="AN194" s="83"/>
      <c r="AO194" s="83"/>
      <c r="AP194" s="83"/>
      <c r="AQ194" s="112"/>
      <c r="AR194" s="112"/>
      <c r="AS194" s="145"/>
      <c r="AT194" s="144"/>
      <c r="AU194" s="83"/>
      <c r="AV194" s="144"/>
      <c r="AW194" s="112"/>
      <c r="AX194" s="83"/>
      <c r="AY194" s="83"/>
      <c r="AZ194" s="83"/>
      <c r="BA194" s="83"/>
      <c r="BB194" s="112"/>
      <c r="BC194" s="112"/>
    </row>
    <row r="195" spans="1:55">
      <c r="A195" s="1" t="s">
        <v>421</v>
      </c>
      <c r="B195" s="33">
        <f>+'NEW-Tables 80-86'!G103+'NEW-Tables 80-86'!G134</f>
        <v>1467.3</v>
      </c>
      <c r="C195" s="108">
        <f>+GETPIVOTDATA("Sum of New-HS % of Total",'Pivot-HS Student % of Undergrad'!$A$3,"State","AL","Category",12,"Category2","Technical")</f>
        <v>0</v>
      </c>
      <c r="D195" s="313">
        <f>+'NEW-Tables 80-86'!H103+'NEW-Tables 80-86'!H134</f>
        <v>2415.7333333333331</v>
      </c>
      <c r="E195" s="108">
        <f>+GETPIVOTDATA("Sum of New-HS % of Total",'Pivot-HS Student % of Undergrad'!$A$3,"State","AL","Category",13,"Category2","Technical")</f>
        <v>0</v>
      </c>
      <c r="F195" s="311">
        <f>+'NEW-Tables 80-86'!I103+'NEW-Tables 80-86'!I134</f>
        <v>0</v>
      </c>
      <c r="G195" s="108">
        <f>+GETPIVOTDATA("Sum of New-HS % of Total",'Pivot-HS Student % of Undergrad'!$A$3,"State","AL","Category",14,"Category2","Technical")</f>
        <v>0</v>
      </c>
      <c r="H195" s="313">
        <f>+'NEW-Tables 80-86'!J103+'NEW-Tables 80-86'!J134</f>
        <v>3883.0333333333328</v>
      </c>
      <c r="I195" s="108">
        <f>+GETPIVOTDATA("Sum of New-HS % of Total",'Pivot-HS Student % of Undergrad'!$A$3,"State","AL","Category2","Group3")</f>
        <v>0</v>
      </c>
      <c r="J195" s="1"/>
      <c r="K195" s="1"/>
      <c r="L195" s="1"/>
      <c r="M195" s="346"/>
      <c r="Q195" s="25" t="s">
        <v>421</v>
      </c>
      <c r="R195" s="359">
        <f>+GETPIVOTDATA("Sum of Old-HS % of Total",'Pivot-HS Student % of Undergrad'!$A$3,"State","AL","Category",12,"Category2","Technical")</f>
        <v>0</v>
      </c>
      <c r="S195" s="393" t="e">
        <f>+'Pivot-HS Student % of Undergrad'!AL12*100</f>
        <v>#VALUE!</v>
      </c>
      <c r="T195" s="402">
        <f>+GETPIVOTDATA("Sum of Old-HS % of Total",'Pivot-HS Student % of Undergrad'!$A$3,"State","AL","Category",13,"Category2","Technical")</f>
        <v>0</v>
      </c>
      <c r="U195" s="393" t="e">
        <f>+'Pivot-HS Student % of Undergrad'!AM12*100</f>
        <v>#VALUE!</v>
      </c>
      <c r="V195" s="402">
        <f>+GETPIVOTDATA("Sum of Old-HS % of Total",'Pivot-HS Student % of Undergrad'!$A$3,"State","AL","Category",14,"Category2","Technical")</f>
        <v>0</v>
      </c>
      <c r="W195" s="393" t="e">
        <f>+'Pivot-HS Student % of Undergrad'!AN12*100</f>
        <v>#VALUE!</v>
      </c>
      <c r="X195" s="402">
        <f>+GETPIVOTDATA("Sum of Old-HS % of Total",'Pivot-HS Student % of Undergrad'!$A$3,"State","AL","Category2","Technical")</f>
        <v>0</v>
      </c>
      <c r="Y195" s="393" t="e">
        <f>+'Pivot-HS Student % of Undergrad'!AO12*100</f>
        <v>#VALUE!</v>
      </c>
      <c r="AA195" s="190" t="s">
        <v>421</v>
      </c>
      <c r="AB195" s="202">
        <f>+'NEW-Tables 80-86'!W103+'NEW-Tables 80-86'!W134</f>
        <v>1225.2666666666667</v>
      </c>
      <c r="AC195" s="204">
        <f>+'NEW-Tables 80-86'!X103+'NEW-Tables 80-86'!X134</f>
        <v>1885.5</v>
      </c>
      <c r="AD195" s="202">
        <f>+'NEW-Tables 80-86'!Y103+'NEW-Tables 80-86'!Y134</f>
        <v>0</v>
      </c>
      <c r="AE195" s="204">
        <f>+'NEW-Tables 80-86'!Z103+'NEW-Tables 80-86'!Z134</f>
        <v>3110.7666666666664</v>
      </c>
      <c r="AL195" s="112" t="s">
        <v>421</v>
      </c>
      <c r="AM195" s="84">
        <f t="shared" ref="AM195:AM207" si="7">+B195</f>
        <v>1467.3</v>
      </c>
      <c r="AN195" s="83">
        <f t="shared" ref="AN195:AN211" si="8">+D195</f>
        <v>2415.7333333333331</v>
      </c>
      <c r="AO195" s="83">
        <f t="shared" ref="AO195:AO207" si="9">+F195</f>
        <v>0</v>
      </c>
      <c r="AP195" s="83">
        <f t="shared" ref="AP195:AP207" si="10">+H195</f>
        <v>3883.0333333333328</v>
      </c>
      <c r="AQ195" s="112"/>
      <c r="AR195" s="112"/>
      <c r="AS195" s="145"/>
      <c r="AT195" s="144"/>
      <c r="AU195" s="83"/>
      <c r="AV195" s="144"/>
      <c r="AW195" s="112" t="s">
        <v>421</v>
      </c>
      <c r="AX195" s="111">
        <f>+'NEW-Tables 80-86'!W103+'NEW-Tables 80-86'!W134</f>
        <v>1225.2666666666667</v>
      </c>
      <c r="AY195" s="110">
        <f>+'NEW-Tables 80-86'!X103+'NEW-Tables 80-86'!X134</f>
        <v>1885.5</v>
      </c>
      <c r="AZ195" s="83">
        <f>+'NEW-Tables 80-86'!Y103+'NEW-Tables 80-86'!Y134</f>
        <v>0</v>
      </c>
      <c r="BA195" s="83">
        <f>+'NEW-Tables 80-86'!Z103+'NEW-Tables 80-86'!Z134</f>
        <v>3110.7666666666664</v>
      </c>
      <c r="BB195" s="112"/>
      <c r="BC195" s="112"/>
    </row>
    <row r="196" spans="1:55">
      <c r="A196" s="1" t="s">
        <v>422</v>
      </c>
      <c r="B196" s="33">
        <f>+'NEW-Tables 80-86'!G104+'NEW-Tables 80-86'!G135</f>
        <v>0</v>
      </c>
      <c r="C196" s="108">
        <f>+GETPIVOTDATA("Sum of New-HS % of Total",'Pivot-HS Student % of Undergrad'!$A$3,"State","AR","Category",12,"Category2","Technical")</f>
        <v>0</v>
      </c>
      <c r="D196" s="313">
        <f>+'NEW-Tables 80-86'!H104+'NEW-Tables 80-86'!H135</f>
        <v>0</v>
      </c>
      <c r="E196" s="108">
        <f>+GETPIVOTDATA("Sum of New-HS % of Total",'Pivot-HS Student % of Undergrad'!$A$3,"State","AR","Category",13,"Category2","Technical")</f>
        <v>0</v>
      </c>
      <c r="F196" s="311">
        <f>+'NEW-Tables 80-86'!I104+'NEW-Tables 80-86'!I135</f>
        <v>0</v>
      </c>
      <c r="G196" s="108">
        <f>+GETPIVOTDATA("Sum of New-HS % of Total",'Pivot-HS Student % of Undergrad'!$A$3,"State","AR","Category",14,"Category2","Technical")</f>
        <v>0</v>
      </c>
      <c r="H196" s="313">
        <f>+'NEW-Tables 80-86'!J104+'NEW-Tables 80-86'!J135</f>
        <v>0</v>
      </c>
      <c r="I196" s="108">
        <f>+GETPIVOTDATA("Sum of New-HS % of Total",'Pivot-HS Student % of Undergrad'!$A$3,"State","AR","Category2","Group3")</f>
        <v>0</v>
      </c>
      <c r="J196" s="1"/>
      <c r="K196" s="1"/>
      <c r="L196" s="1"/>
      <c r="M196" s="346"/>
      <c r="Q196" s="74" t="s">
        <v>422</v>
      </c>
      <c r="R196" s="359">
        <f>+GETPIVOTDATA("Sum of Old-HS % of Total",'Pivot-HS Student % of Undergrad'!$A$3,"State","AR","Category",12,"Category2","Technical")</f>
        <v>0</v>
      </c>
      <c r="S196" s="406" t="e">
        <f>+'Pivot-HS Student % of Undergrad'!AL19*100</f>
        <v>#VALUE!</v>
      </c>
      <c r="T196" s="402">
        <f>+GETPIVOTDATA("Sum of Old-HS % of Total",'Pivot-HS Student % of Undergrad'!$A$3,"State","AR","Category",13,"Category2","Technical")</f>
        <v>0</v>
      </c>
      <c r="U196" s="406" t="e">
        <f>+'Pivot-HS Student % of Undergrad'!AM19*100</f>
        <v>#VALUE!</v>
      </c>
      <c r="V196" s="402">
        <f>+GETPIVOTDATA("Sum of Old-HS % of Total",'Pivot-HS Student % of Undergrad'!$A$3,"State","AR","Category",14,"Category2","Technical")</f>
        <v>0</v>
      </c>
      <c r="W196" s="406" t="e">
        <f>+'Pivot-HS Student % of Undergrad'!AN19*100</f>
        <v>#VALUE!</v>
      </c>
      <c r="X196" s="402">
        <f>+GETPIVOTDATA("Sum of Old-HS % of Total",'Pivot-HS Student % of Undergrad'!$A$3,"State","AR","Category2","Technical")</f>
        <v>0</v>
      </c>
      <c r="Y196" s="406" t="e">
        <f>+'Pivot-HS Student % of Undergrad'!AO19*100</f>
        <v>#VALUE!</v>
      </c>
      <c r="AA196" s="190" t="s">
        <v>422</v>
      </c>
      <c r="AB196" s="205">
        <f>+'NEW-Tables 80-86'!W104+'NEW-Tables 80-86'!W135</f>
        <v>0</v>
      </c>
      <c r="AC196" s="207">
        <f>+'NEW-Tables 80-86'!X104+'NEW-Tables 80-86'!X135</f>
        <v>0</v>
      </c>
      <c r="AD196" s="205">
        <f>+'NEW-Tables 80-86'!Y104+'NEW-Tables 80-86'!Y135</f>
        <v>0</v>
      </c>
      <c r="AE196" s="207">
        <f>+'NEW-Tables 80-86'!Z104+'NEW-Tables 80-86'!Z135</f>
        <v>0</v>
      </c>
      <c r="AL196" s="112" t="s">
        <v>422</v>
      </c>
      <c r="AM196" s="84">
        <f t="shared" si="7"/>
        <v>0</v>
      </c>
      <c r="AN196" s="83">
        <f t="shared" si="8"/>
        <v>0</v>
      </c>
      <c r="AO196" s="83">
        <f t="shared" si="9"/>
        <v>0</v>
      </c>
      <c r="AP196" s="83">
        <f t="shared" si="10"/>
        <v>0</v>
      </c>
      <c r="AQ196" s="112"/>
      <c r="AR196" s="112"/>
      <c r="AS196" s="145"/>
      <c r="AT196" s="144"/>
      <c r="AU196" s="83"/>
      <c r="AV196" s="144"/>
      <c r="AW196" s="112" t="s">
        <v>422</v>
      </c>
      <c r="AX196" s="111">
        <f>+'NEW-Tables 80-86'!W104+'NEW-Tables 80-86'!W135</f>
        <v>0</v>
      </c>
      <c r="AY196" s="110">
        <f>+'NEW-Tables 80-86'!X104+'NEW-Tables 80-86'!X135</f>
        <v>0</v>
      </c>
      <c r="AZ196" s="83">
        <f>+'NEW-Tables 80-86'!Y104+'NEW-Tables 80-86'!Y135</f>
        <v>0</v>
      </c>
      <c r="BA196" s="83">
        <f>+'NEW-Tables 80-86'!Z104+'NEW-Tables 80-86'!Z135</f>
        <v>0</v>
      </c>
      <c r="BB196" s="112"/>
      <c r="BC196" s="112"/>
    </row>
    <row r="197" spans="1:55">
      <c r="A197" s="1" t="s">
        <v>459</v>
      </c>
      <c r="B197" s="33">
        <f>+'NEW-Tables 80-86'!G105+'NEW-Tables 80-86'!G136</f>
        <v>0</v>
      </c>
      <c r="C197" s="108">
        <f>+GETPIVOTDATA("Sum of New-HS % of Total",'Pivot-HS Student % of Undergrad'!$A$3,"State","DE","Category",12,"Category2","Technical")</f>
        <v>0</v>
      </c>
      <c r="D197" s="313">
        <f>+'NEW-Tables 80-86'!H105+'NEW-Tables 80-86'!H136</f>
        <v>0</v>
      </c>
      <c r="E197" s="108">
        <f>+GETPIVOTDATA("Sum of New-HS % of Total",'Pivot-HS Student % of Undergrad'!$A$3,"State","DE","Category",13,"Category2","Technical")</f>
        <v>0</v>
      </c>
      <c r="F197" s="311">
        <f>+'NEW-Tables 80-86'!I105+'NEW-Tables 80-86'!I136</f>
        <v>0</v>
      </c>
      <c r="G197" s="108">
        <f>+GETPIVOTDATA("Sum of New-HS % of Total",'Pivot-HS Student % of Undergrad'!$A$3,"State","DE","Category",14,"Category2","Technical")</f>
        <v>0</v>
      </c>
      <c r="H197" s="313">
        <f>+'NEW-Tables 80-86'!J105+'NEW-Tables 80-86'!J136</f>
        <v>0</v>
      </c>
      <c r="I197" s="108">
        <f>+GETPIVOTDATA("Sum of New-HS % of Total",'Pivot-HS Student % of Undergrad'!$A$3,"State","DE","Category2","Group3")</f>
        <v>0</v>
      </c>
      <c r="J197" s="1"/>
      <c r="K197" s="1"/>
      <c r="L197" s="1"/>
      <c r="M197" s="346"/>
      <c r="Q197" s="25" t="s">
        <v>459</v>
      </c>
      <c r="R197" s="359">
        <f>+GETPIVOTDATA("Sum of Old-HS % of Total",'Pivot-HS Student % of Undergrad'!$A$3,"State","DE","Category",12,"Category2","Technical")</f>
        <v>0</v>
      </c>
      <c r="S197" s="393" t="e">
        <f>+'Pivot-HS Student % of Undergrad'!AL26*100</f>
        <v>#VALUE!</v>
      </c>
      <c r="T197" s="402">
        <f>+GETPIVOTDATA("Sum of Old-HS % of Total",'Pivot-HS Student % of Undergrad'!$A$3,"State","DE","Category",13,"Category2","Technical")</f>
        <v>0</v>
      </c>
      <c r="U197" s="393" t="e">
        <f>+'Pivot-HS Student % of Undergrad'!AM26*100</f>
        <v>#VALUE!</v>
      </c>
      <c r="V197" s="402">
        <f>+GETPIVOTDATA("Sum of Old-HS % of Total",'Pivot-HS Student % of Undergrad'!$A$3,"State","DE","Category",14,"Category2","Technical")</f>
        <v>0</v>
      </c>
      <c r="W197" s="393" t="e">
        <f>+'Pivot-HS Student % of Undergrad'!AN26*100</f>
        <v>#VALUE!</v>
      </c>
      <c r="X197" s="402">
        <f>+GETPIVOTDATA("Sum of Old-HS % of Total",'Pivot-HS Student % of Undergrad'!$A$3,"State","DE","Category2","Technical")</f>
        <v>0</v>
      </c>
      <c r="Y197" s="393" t="e">
        <f>+'Pivot-HS Student % of Undergrad'!AO26*100</f>
        <v>#VALUE!</v>
      </c>
      <c r="AA197" s="190" t="s">
        <v>459</v>
      </c>
      <c r="AB197" s="205">
        <f>+'NEW-Tables 80-86'!W105+'NEW-Tables 80-86'!W136</f>
        <v>0</v>
      </c>
      <c r="AC197" s="207">
        <f>+'NEW-Tables 80-86'!X105+'NEW-Tables 80-86'!X136</f>
        <v>0</v>
      </c>
      <c r="AD197" s="205">
        <f>+'NEW-Tables 80-86'!Y105+'NEW-Tables 80-86'!Y136</f>
        <v>0</v>
      </c>
      <c r="AE197" s="207">
        <f>+'NEW-Tables 80-86'!Z105+'NEW-Tables 80-86'!Z136</f>
        <v>0</v>
      </c>
      <c r="AL197" s="112" t="s">
        <v>459</v>
      </c>
      <c r="AM197" s="84">
        <f t="shared" si="7"/>
        <v>0</v>
      </c>
      <c r="AN197" s="83">
        <f t="shared" si="8"/>
        <v>0</v>
      </c>
      <c r="AO197" s="83">
        <f t="shared" si="9"/>
        <v>0</v>
      </c>
      <c r="AP197" s="83">
        <f t="shared" si="10"/>
        <v>0</v>
      </c>
      <c r="AQ197" s="112"/>
      <c r="AR197" s="112"/>
      <c r="AS197" s="145"/>
      <c r="AT197" s="144"/>
      <c r="AU197" s="83"/>
      <c r="AV197" s="144"/>
      <c r="AW197" s="112" t="s">
        <v>459</v>
      </c>
      <c r="AX197" s="111">
        <f>+'NEW-Tables 80-86'!W105+'NEW-Tables 80-86'!W136</f>
        <v>0</v>
      </c>
      <c r="AY197" s="110">
        <f>+'NEW-Tables 80-86'!X105+'NEW-Tables 80-86'!X136</f>
        <v>0</v>
      </c>
      <c r="AZ197" s="83">
        <f>+'NEW-Tables 80-86'!Y105+'NEW-Tables 80-86'!Y136</f>
        <v>0</v>
      </c>
      <c r="BA197" s="83">
        <f>+'NEW-Tables 80-86'!Z105+'NEW-Tables 80-86'!Z136</f>
        <v>0</v>
      </c>
      <c r="BB197" s="112"/>
      <c r="BC197" s="112"/>
    </row>
    <row r="198" spans="1:55">
      <c r="A198" s="1" t="s">
        <v>423</v>
      </c>
      <c r="B198" s="33">
        <f>+'NEW-Tables 80-86'!G106+'NEW-Tables 80-86'!G137</f>
        <v>0</v>
      </c>
      <c r="C198" s="108">
        <f>+GETPIVOTDATA("Sum of New-HS % of Total",'Pivot-HS Student % of Undergrad'!$A$3,"State","FL","Category",12,"Category2","Technical")</f>
        <v>0</v>
      </c>
      <c r="D198" s="313">
        <f>+'NEW-Tables 80-86'!H106+'NEW-Tables 80-86'!H137</f>
        <v>0</v>
      </c>
      <c r="E198" s="108">
        <f>+GETPIVOTDATA("Sum of New-HS % of Total",'Pivot-HS Student % of Undergrad'!$A$3,"State","FL","Category",13,"Category2","Technical")</f>
        <v>0</v>
      </c>
      <c r="F198" s="311">
        <f>+'NEW-Tables 80-86'!I106+'NEW-Tables 80-86'!I137</f>
        <v>0</v>
      </c>
      <c r="G198" s="108">
        <f>+GETPIVOTDATA("Sum of New-HS % of Total",'Pivot-HS Student % of Undergrad'!$A$3,"State","FL","Category",14,"Category2","Technical")</f>
        <v>0</v>
      </c>
      <c r="H198" s="313">
        <f>+'NEW-Tables 80-86'!J106+'NEW-Tables 80-86'!J137</f>
        <v>0</v>
      </c>
      <c r="I198" s="108">
        <f>+GETPIVOTDATA("Sum of New-HS % of Total",'Pivot-HS Student % of Undergrad'!$A$3,"State","FL","Category2","Group3")</f>
        <v>0</v>
      </c>
      <c r="J198" s="1"/>
      <c r="K198" s="1"/>
      <c r="L198" s="1"/>
      <c r="M198" s="346"/>
      <c r="Q198" s="25" t="s">
        <v>423</v>
      </c>
      <c r="R198" s="359">
        <f>+GETPIVOTDATA("Sum of Old-HS % of Total",'Pivot-HS Student % of Undergrad'!$A$3,"State","FL","Category",12,"Category2","Technical")</f>
        <v>0</v>
      </c>
      <c r="S198" s="393" t="e">
        <f>+'Pivot-HS Student % of Undergrad'!AL33*100</f>
        <v>#VALUE!</v>
      </c>
      <c r="T198" s="402">
        <f>+GETPIVOTDATA("Sum of Old-HS % of Total",'Pivot-HS Student % of Undergrad'!$A$3,"State","FL","Category",13,"Category2","Technical")</f>
        <v>0</v>
      </c>
      <c r="U198" s="393" t="e">
        <f>+'Pivot-HS Student % of Undergrad'!AM33*100</f>
        <v>#VALUE!</v>
      </c>
      <c r="V198" s="402">
        <f>+GETPIVOTDATA("Sum of Old-HS % of Total",'Pivot-HS Student % of Undergrad'!$A$3,"State","FL","Category",14,"Category2","Technical")</f>
        <v>0</v>
      </c>
      <c r="W198" s="393" t="e">
        <f>+'Pivot-HS Student % of Undergrad'!AN33*100</f>
        <v>#VALUE!</v>
      </c>
      <c r="X198" s="402">
        <f>+GETPIVOTDATA("Sum of Old-HS % of Total",'Pivot-HS Student % of Undergrad'!$A$3,"State","FL","Category2","Technical")</f>
        <v>0</v>
      </c>
      <c r="Y198" s="393" t="e">
        <f>+'Pivot-HS Student % of Undergrad'!AO33*100</f>
        <v>#VALUE!</v>
      </c>
      <c r="AA198" s="190" t="s">
        <v>423</v>
      </c>
      <c r="AB198" s="205">
        <f>+'NEW-Tables 80-86'!W106+'NEW-Tables 80-86'!W137</f>
        <v>0</v>
      </c>
      <c r="AC198" s="207">
        <f>+'NEW-Tables 80-86'!X106+'NEW-Tables 80-86'!X137</f>
        <v>0</v>
      </c>
      <c r="AD198" s="205">
        <f>+'NEW-Tables 80-86'!Y106+'NEW-Tables 80-86'!Y137</f>
        <v>0</v>
      </c>
      <c r="AE198" s="207">
        <f>+'NEW-Tables 80-86'!Z106+'NEW-Tables 80-86'!Z137</f>
        <v>0</v>
      </c>
      <c r="AL198" s="112" t="s">
        <v>423</v>
      </c>
      <c r="AM198" s="84">
        <f t="shared" si="7"/>
        <v>0</v>
      </c>
      <c r="AN198" s="83">
        <f t="shared" si="8"/>
        <v>0</v>
      </c>
      <c r="AO198" s="83">
        <f t="shared" si="9"/>
        <v>0</v>
      </c>
      <c r="AP198" s="83">
        <f t="shared" si="10"/>
        <v>0</v>
      </c>
      <c r="AQ198" s="112"/>
      <c r="AR198" s="112"/>
      <c r="AS198" s="145"/>
      <c r="AT198" s="144"/>
      <c r="AU198" s="83"/>
      <c r="AV198" s="144"/>
      <c r="AW198" s="112" t="s">
        <v>423</v>
      </c>
      <c r="AX198" s="111">
        <f>+'NEW-Tables 80-86'!W106+'NEW-Tables 80-86'!W137</f>
        <v>0</v>
      </c>
      <c r="AY198" s="110">
        <f>+'NEW-Tables 80-86'!X106+'NEW-Tables 80-86'!X137</f>
        <v>0</v>
      </c>
      <c r="AZ198" s="83">
        <f>+'NEW-Tables 80-86'!Y106+'NEW-Tables 80-86'!Y137</f>
        <v>0</v>
      </c>
      <c r="BA198" s="83">
        <f>+'NEW-Tables 80-86'!Z106+'NEW-Tables 80-86'!Z137</f>
        <v>0</v>
      </c>
      <c r="BB198" s="112"/>
      <c r="BC198" s="112"/>
    </row>
    <row r="199" spans="1:55">
      <c r="B199" s="33"/>
      <c r="C199" s="108"/>
      <c r="D199" s="313"/>
      <c r="E199" s="108"/>
      <c r="F199" s="311"/>
      <c r="G199" s="108"/>
      <c r="H199" s="313"/>
      <c r="I199" s="108"/>
      <c r="J199" s="1"/>
      <c r="K199" s="1"/>
      <c r="L199" s="1"/>
      <c r="M199" s="346"/>
      <c r="Q199" s="25"/>
      <c r="R199" s="359"/>
      <c r="S199" s="393"/>
      <c r="T199" s="402"/>
      <c r="U199" s="393"/>
      <c r="V199" s="402"/>
      <c r="W199" s="393"/>
      <c r="X199" s="402"/>
      <c r="Y199" s="393"/>
      <c r="AA199" s="190"/>
      <c r="AB199" s="205"/>
      <c r="AC199" s="207"/>
      <c r="AD199" s="205"/>
      <c r="AE199" s="207"/>
      <c r="AL199" s="112"/>
      <c r="AM199" s="84"/>
      <c r="AN199" s="83"/>
      <c r="AO199" s="83"/>
      <c r="AP199" s="83"/>
      <c r="AQ199" s="112"/>
      <c r="AR199" s="112"/>
      <c r="AS199" s="145"/>
      <c r="AT199" s="144"/>
      <c r="AU199" s="83"/>
      <c r="AV199" s="144"/>
      <c r="AW199" s="112"/>
      <c r="AX199" s="111"/>
      <c r="AY199" s="110"/>
      <c r="AZ199" s="83"/>
      <c r="BA199" s="83"/>
      <c r="BB199" s="112"/>
      <c r="BC199" s="112"/>
    </row>
    <row r="200" spans="1:55">
      <c r="A200" s="1" t="s">
        <v>424</v>
      </c>
      <c r="B200" s="33">
        <f>+'NEW-Tables 80-86'!G108+'NEW-Tables 80-86'!G139</f>
        <v>84499.953333333338</v>
      </c>
      <c r="C200" s="108">
        <f>+GETPIVOTDATA("Sum of New-HS % of Total",'Pivot-HS Student % of Undergrad'!$A$3,"State","GA","Category",12,"Category2","Technical")</f>
        <v>2.2362799989975011E-2</v>
      </c>
      <c r="D200" s="313">
        <f>+'NEW-Tables 80-86'!H108+'NEW-Tables 80-86'!H139</f>
        <v>2673.8955555555553</v>
      </c>
      <c r="E200" s="108">
        <f>+GETPIVOTDATA("Sum of New-HS % of Total",'Pivot-HS Student % of Undergrad'!$A$3,"State","GA","Category",13,"Category2","Technical")</f>
        <v>7.0256213780476764E-2</v>
      </c>
      <c r="F200" s="311">
        <f>+'NEW-Tables 80-86'!I108+'NEW-Tables 80-86'!I139</f>
        <v>0</v>
      </c>
      <c r="G200" s="108">
        <f>+GETPIVOTDATA("Sum of New-HS % of Total",'Pivot-HS Student % of Undergrad'!$A$3,"State","GA","Category",14,"Category2","Technical")</f>
        <v>0</v>
      </c>
      <c r="H200" s="313">
        <f>+'NEW-Tables 80-86'!J108+'NEW-Tables 80-86'!J139</f>
        <v>87173.848888888897</v>
      </c>
      <c r="I200" s="108">
        <f>+GETPIVOTDATA("Sum of New-HS % of Total",'Pivot-HS Student % of Undergrad'!$A$3,"State","GA","Category2","Group3")</f>
        <v>2.3831841312654624E-2</v>
      </c>
      <c r="J200" s="1"/>
      <c r="K200" s="1"/>
      <c r="L200" s="1"/>
      <c r="M200" s="346"/>
      <c r="Q200" s="25" t="s">
        <v>424</v>
      </c>
      <c r="R200" s="359">
        <f>+GETPIVOTDATA("Sum of Old-HS % of Total",'Pivot-HS Student % of Undergrad'!$A$3,"State","GA","Category",12,"Category2","Technical")</f>
        <v>3.1840621703670802E-2</v>
      </c>
      <c r="S200" s="393">
        <f>+'Pivot-HS Student % of Undergrad'!AL40*100</f>
        <v>-0.9477821713695791</v>
      </c>
      <c r="T200" s="402">
        <f>+GETPIVOTDATA("Sum of Old-HS % of Total",'Pivot-HS Student % of Undergrad'!$A$3,"State","GA","Category",13,"Category2","Technical")</f>
        <v>7.3059408531797959E-2</v>
      </c>
      <c r="U200" s="393">
        <f>+'Pivot-HS Student % of Undergrad'!AM40*100</f>
        <v>-0.28031947513211947</v>
      </c>
      <c r="V200" s="402">
        <f>+GETPIVOTDATA("Sum of Old-HS % of Total",'Pivot-HS Student % of Undergrad'!$A$3,"State","GA","Category",14,"Category2","Technical")</f>
        <v>0</v>
      </c>
      <c r="W200" s="393" t="e">
        <f>+'Pivot-HS Student % of Undergrad'!AN40*100</f>
        <v>#VALUE!</v>
      </c>
      <c r="X200" s="402">
        <f>+GETPIVOTDATA("Sum of Old-HS % of Total",'Pivot-HS Student % of Undergrad'!$A$3,"State","GA","Category2","Technical")</f>
        <v>3.3048796050772954E-2</v>
      </c>
      <c r="Y200" s="393">
        <f>+'Pivot-HS Student % of Undergrad'!AO40*100</f>
        <v>-0.92169547381183303</v>
      </c>
      <c r="AA200" s="190" t="s">
        <v>424</v>
      </c>
      <c r="AB200" s="205">
        <f>+'NEW-Tables 80-86'!W108+'NEW-Tables 80-86'!W139</f>
        <v>70299.157777777786</v>
      </c>
      <c r="AC200" s="207">
        <f>+'NEW-Tables 80-86'!X108+'NEW-Tables 80-86'!X139</f>
        <v>2122.7777777777778</v>
      </c>
      <c r="AD200" s="205">
        <f>+'NEW-Tables 80-86'!Y108+'NEW-Tables 80-86'!Y139</f>
        <v>0</v>
      </c>
      <c r="AE200" s="207">
        <f>+'NEW-Tables 80-86'!Z108+'NEW-Tables 80-86'!Z139</f>
        <v>72421.935555555567</v>
      </c>
      <c r="AL200" s="112" t="s">
        <v>424</v>
      </c>
      <c r="AM200" s="84">
        <f t="shared" si="7"/>
        <v>84499.953333333338</v>
      </c>
      <c r="AN200" s="83">
        <f t="shared" si="8"/>
        <v>2673.8955555555553</v>
      </c>
      <c r="AO200" s="83">
        <f t="shared" si="9"/>
        <v>0</v>
      </c>
      <c r="AP200" s="83">
        <f t="shared" si="10"/>
        <v>87173.848888888897</v>
      </c>
      <c r="AQ200" s="112"/>
      <c r="AR200" s="112"/>
      <c r="AS200" s="145"/>
      <c r="AT200" s="144"/>
      <c r="AU200" s="83"/>
      <c r="AV200" s="144"/>
      <c r="AW200" s="112" t="s">
        <v>424</v>
      </c>
      <c r="AX200" s="111">
        <f>+'NEW-Tables 80-86'!W108+'NEW-Tables 80-86'!W139</f>
        <v>70299.157777777786</v>
      </c>
      <c r="AY200" s="110">
        <f>+'NEW-Tables 80-86'!X108+'NEW-Tables 80-86'!X139</f>
        <v>2122.7777777777778</v>
      </c>
      <c r="AZ200" s="83">
        <f>+'NEW-Tables 80-86'!Y108+'NEW-Tables 80-86'!Y139</f>
        <v>0</v>
      </c>
      <c r="BA200" s="83">
        <f>+'NEW-Tables 80-86'!Z108+'NEW-Tables 80-86'!Z139</f>
        <v>72421.935555555567</v>
      </c>
      <c r="BB200" s="112"/>
      <c r="BC200" s="112"/>
    </row>
    <row r="201" spans="1:55">
      <c r="A201" s="1" t="s">
        <v>425</v>
      </c>
      <c r="B201" s="33">
        <f>+'NEW-Tables 80-86'!G109+'NEW-Tables 80-86'!G140</f>
        <v>3683.1666666666665</v>
      </c>
      <c r="C201" s="108">
        <f>+GETPIVOTDATA("Sum of New-HS % of Total",'Pivot-HS Student % of Undergrad'!$A$3,"State","KY","Category",12,"Category2","Technical")</f>
        <v>7.4220552966197562E-2</v>
      </c>
      <c r="D201" s="313">
        <f>+'NEW-Tables 80-86'!H109+'NEW-Tables 80-86'!H140</f>
        <v>0</v>
      </c>
      <c r="E201" s="108">
        <f>+GETPIVOTDATA("Sum of New-HS % of Total",'Pivot-HS Student % of Undergrad'!$A$3,"State","KY","Category",13,"Category2","Technical")</f>
        <v>0</v>
      </c>
      <c r="F201" s="311">
        <f>+'NEW-Tables 80-86'!I109+'NEW-Tables 80-86'!I140</f>
        <v>0</v>
      </c>
      <c r="G201" s="108">
        <f>+GETPIVOTDATA("Sum of New-HS % of Total",'Pivot-HS Student % of Undergrad'!$A$3,"State","KY","Category",14,"Category2","Technical")</f>
        <v>0</v>
      </c>
      <c r="H201" s="313">
        <f>+'NEW-Tables 80-86'!J109+'NEW-Tables 80-86'!J140</f>
        <v>3683.1666666666665</v>
      </c>
      <c r="I201" s="108">
        <f>+GETPIVOTDATA("Sum of New-HS % of Total",'Pivot-HS Student % of Undergrad'!$A$3,"State","KY","Category2","Group3")</f>
        <v>7.4220552966197562E-2</v>
      </c>
      <c r="J201" s="1"/>
      <c r="K201" s="1"/>
      <c r="L201" s="1"/>
      <c r="M201" s="346"/>
      <c r="Q201" s="25" t="s">
        <v>425</v>
      </c>
      <c r="R201" s="359">
        <f>+GETPIVOTDATA("Sum of Old-HS % of Total",'Pivot-HS Student % of Undergrad'!$A$3,"State","KY","Category",12,"Category2","Technical")</f>
        <v>9.3084924771811628E-2</v>
      </c>
      <c r="S201" s="393">
        <f>+'Pivot-HS Student % of Undergrad'!AL47*100</f>
        <v>-1.8864371805614066</v>
      </c>
      <c r="T201" s="402">
        <f>+GETPIVOTDATA("Sum of Old-HS % of Total",'Pivot-HS Student % of Undergrad'!$A$3,"State","KY","Category",13,"Category2","Technical")</f>
        <v>0</v>
      </c>
      <c r="U201" s="393" t="e">
        <f>+'Pivot-HS Student % of Undergrad'!AM47*100</f>
        <v>#VALUE!</v>
      </c>
      <c r="V201" s="402">
        <f>+GETPIVOTDATA("Sum of Old-HS % of Total",'Pivot-HS Student % of Undergrad'!$A$3,"State","KY","Category",14,"Category2","Technical")</f>
        <v>0</v>
      </c>
      <c r="W201" s="393" t="e">
        <f>+'Pivot-HS Student % of Undergrad'!AN47*100</f>
        <v>#VALUE!</v>
      </c>
      <c r="X201" s="402">
        <f>+GETPIVOTDATA("Sum of Old-HS % of Total",'Pivot-HS Student % of Undergrad'!$A$3,"State","KY","Category2","Technical")</f>
        <v>9.3084924771811628E-2</v>
      </c>
      <c r="Y201" s="393">
        <f>+'Pivot-HS Student % of Undergrad'!AO47*100</f>
        <v>-1.8864371805614066</v>
      </c>
      <c r="AA201" s="190" t="s">
        <v>425</v>
      </c>
      <c r="AB201" s="205">
        <f>+'NEW-Tables 80-86'!W109+'NEW-Tables 80-86'!W140</f>
        <v>2928.8666666666668</v>
      </c>
      <c r="AC201" s="207">
        <f>+'NEW-Tables 80-86'!X109+'NEW-Tables 80-86'!X140</f>
        <v>0</v>
      </c>
      <c r="AD201" s="205">
        <f>+'NEW-Tables 80-86'!Y109+'NEW-Tables 80-86'!Y140</f>
        <v>0</v>
      </c>
      <c r="AE201" s="207">
        <f>+'NEW-Tables 80-86'!Z109+'NEW-Tables 80-86'!Z140</f>
        <v>2928.8666666666668</v>
      </c>
      <c r="AL201" s="112" t="s">
        <v>425</v>
      </c>
      <c r="AM201" s="84">
        <f t="shared" si="7"/>
        <v>3683.1666666666665</v>
      </c>
      <c r="AN201" s="83">
        <f t="shared" si="8"/>
        <v>0</v>
      </c>
      <c r="AO201" s="83">
        <f t="shared" si="9"/>
        <v>0</v>
      </c>
      <c r="AP201" s="83">
        <f t="shared" si="10"/>
        <v>3683.1666666666665</v>
      </c>
      <c r="AQ201" s="112"/>
      <c r="AR201" s="112"/>
      <c r="AS201" s="145"/>
      <c r="AT201" s="144"/>
      <c r="AU201" s="83"/>
      <c r="AV201" s="144"/>
      <c r="AW201" s="112" t="s">
        <v>425</v>
      </c>
      <c r="AX201" s="111">
        <f>+'NEW-Tables 80-86'!W109+'NEW-Tables 80-86'!W140</f>
        <v>2928.8666666666668</v>
      </c>
      <c r="AY201" s="110">
        <f>+'NEW-Tables 80-86'!X109+'NEW-Tables 80-86'!X140</f>
        <v>0</v>
      </c>
      <c r="AZ201" s="83">
        <f>+'NEW-Tables 80-86'!Y109+'NEW-Tables 80-86'!Y140</f>
        <v>0</v>
      </c>
      <c r="BA201" s="83">
        <f>+'NEW-Tables 80-86'!Z109+'NEW-Tables 80-86'!Z140</f>
        <v>2928.8666666666668</v>
      </c>
      <c r="BB201" s="112"/>
      <c r="BC201" s="112"/>
    </row>
    <row r="202" spans="1:55">
      <c r="A202" s="1" t="s">
        <v>426</v>
      </c>
      <c r="B202" s="33">
        <f>+'NEW-Tables 80-86'!G110+'NEW-Tables 80-86'!G141</f>
        <v>1759.2666666666667</v>
      </c>
      <c r="C202" s="108">
        <f>+GETPIVOTDATA("Sum of New-HS % of Total",'Pivot-HS Student % of Undergrad'!$A$3,"State","LA","Category",12,"Category2","Technical")</f>
        <v>1.6313615521618856E-2</v>
      </c>
      <c r="D202" s="313">
        <f>+'NEW-Tables 80-86'!H110+'NEW-Tables 80-86'!H141</f>
        <v>1117.2733333333333</v>
      </c>
      <c r="E202" s="108">
        <f>+GETPIVOTDATA("Sum of New-HS % of Total",'Pivot-HS Student % of Undergrad'!$A$3,"State","LA","Category",13,"Category2","Technical")</f>
        <v>2.8544037605145966E-2</v>
      </c>
      <c r="F202" s="311">
        <f>+'NEW-Tables 80-86'!I110+'NEW-Tables 80-86'!I141</f>
        <v>16730.460555555554</v>
      </c>
      <c r="G202" s="108">
        <f>+GETPIVOTDATA("Sum of New-HS % of Total",'Pivot-HS Student % of Undergrad'!$A$3,"State","LA","Category",14,"Category2","Technical")</f>
        <v>0.15267256704604362</v>
      </c>
      <c r="H202" s="313">
        <f>+'NEW-Tables 80-86'!J110+'NEW-Tables 80-86'!J141</f>
        <v>19607.000555555554</v>
      </c>
      <c r="I202" s="108">
        <f>+GETPIVOTDATA("Sum of New-HS % of Total",'Pivot-HS Student % of Undergrad'!$A$3,"State","LA","Category2","Group3")</f>
        <v>0.13346922869390571</v>
      </c>
      <c r="J202" s="1"/>
      <c r="K202" s="1"/>
      <c r="L202" s="1"/>
      <c r="M202" s="346"/>
      <c r="Q202" s="25" t="s">
        <v>426</v>
      </c>
      <c r="R202" s="359">
        <f>+GETPIVOTDATA("Sum of Old-HS % of Total",'Pivot-HS Student % of Undergrad'!$A$3,"State","LA","Category",12,"Category2","Technical")</f>
        <v>2.1278540900052569E-2</v>
      </c>
      <c r="S202" s="393">
        <f>+'Pivot-HS Student % of Undergrad'!AL54*100</f>
        <v>-0.49649253784337133</v>
      </c>
      <c r="T202" s="402">
        <f>+GETPIVOTDATA("Sum of Old-HS % of Total",'Pivot-HS Student % of Undergrad'!$A$3,"State","LA","Category",13,"Category2","Technical")</f>
        <v>3.5351799250990537E-2</v>
      </c>
      <c r="U202" s="393">
        <f>+'Pivot-HS Student % of Undergrad'!AM54*100</f>
        <v>-0.68077616458445711</v>
      </c>
      <c r="V202" s="402">
        <f>+GETPIVOTDATA("Sum of Old-HS % of Total",'Pivot-HS Student % of Undergrad'!$A$3,"State","LA","Category",14,"Category2","Technical")</f>
        <v>0.11545802317064657</v>
      </c>
      <c r="W202" s="393">
        <f>+'Pivot-HS Student % of Undergrad'!AN54*100</f>
        <v>3.7214543875397048</v>
      </c>
      <c r="X202" s="402">
        <f>+GETPIVOTDATA("Sum of Old-HS % of Total",'Pivot-HS Student % of Undergrad'!$A$3,"State","LA","Category2","Technical")</f>
        <v>0.10263386982488105</v>
      </c>
      <c r="Y202" s="393">
        <f>+'Pivot-HS Student % of Undergrad'!AO54*100</f>
        <v>3.0835358869024652</v>
      </c>
      <c r="AA202" s="190" t="s">
        <v>426</v>
      </c>
      <c r="AB202" s="205">
        <f>+'NEW-Tables 80-86'!W110+'NEW-Tables 80-86'!W141</f>
        <v>1458.4333333333334</v>
      </c>
      <c r="AC202" s="207">
        <f>+'NEW-Tables 80-86'!X110+'NEW-Tables 80-86'!X141</f>
        <v>945.31444444444446</v>
      </c>
      <c r="AD202" s="205">
        <f>+'NEW-Tables 80-86'!Y110+'NEW-Tables 80-86'!Y141</f>
        <v>14183.737222222222</v>
      </c>
      <c r="AE202" s="207">
        <f>+'NEW-Tables 80-86'!Z110+'NEW-Tables 80-86'!Z141</f>
        <v>16587.485000000001</v>
      </c>
      <c r="AL202" s="112" t="s">
        <v>426</v>
      </c>
      <c r="AM202" s="84">
        <f t="shared" si="7"/>
        <v>1759.2666666666667</v>
      </c>
      <c r="AN202" s="83">
        <f t="shared" si="8"/>
        <v>1117.2733333333333</v>
      </c>
      <c r="AO202" s="83">
        <f t="shared" si="9"/>
        <v>16730.460555555554</v>
      </c>
      <c r="AP202" s="83">
        <f t="shared" si="10"/>
        <v>19607.000555555554</v>
      </c>
      <c r="AQ202" s="112"/>
      <c r="AR202" s="112"/>
      <c r="AS202" s="145"/>
      <c r="AT202" s="144"/>
      <c r="AU202" s="83"/>
      <c r="AV202" s="144"/>
      <c r="AW202" s="112" t="s">
        <v>426</v>
      </c>
      <c r="AX202" s="111">
        <f>+'NEW-Tables 80-86'!W110+'NEW-Tables 80-86'!W141</f>
        <v>1458.4333333333334</v>
      </c>
      <c r="AY202" s="110">
        <f>+'NEW-Tables 80-86'!X110+'NEW-Tables 80-86'!X141</f>
        <v>945.31444444444446</v>
      </c>
      <c r="AZ202" s="83">
        <f>+'NEW-Tables 80-86'!Y110+'NEW-Tables 80-86'!Y141</f>
        <v>14183.737222222222</v>
      </c>
      <c r="BA202" s="83">
        <f>+'NEW-Tables 80-86'!Z110+'NEW-Tables 80-86'!Z141</f>
        <v>16587.485000000001</v>
      </c>
      <c r="BB202" s="112"/>
      <c r="BC202" s="112"/>
    </row>
    <row r="203" spans="1:55">
      <c r="A203" s="1" t="s">
        <v>427</v>
      </c>
      <c r="B203" s="33">
        <f>+'NEW-Tables 80-86'!G111+'NEW-Tables 80-86'!G142</f>
        <v>0</v>
      </c>
      <c r="C203" s="108">
        <f>+GETPIVOTDATA("Sum of New-HS % of Total",'Pivot-HS Student % of Undergrad'!$A$3,"State","MD","Category",12,"Category2","Technical")</f>
        <v>0</v>
      </c>
      <c r="D203" s="313">
        <f>+'NEW-Tables 80-86'!H111+'NEW-Tables 80-86'!H142</f>
        <v>0</v>
      </c>
      <c r="E203" s="108">
        <f>+GETPIVOTDATA("Sum of New-HS % of Total",'Pivot-HS Student % of Undergrad'!$A$3,"State","MD","Category",13,"Category2","Technical")</f>
        <v>0</v>
      </c>
      <c r="F203" s="311">
        <f>+'NEW-Tables 80-86'!I111+'NEW-Tables 80-86'!I142</f>
        <v>0</v>
      </c>
      <c r="G203" s="108">
        <f>+GETPIVOTDATA("Sum of New-HS % of Total",'Pivot-HS Student % of Undergrad'!$A$3,"State","MD","Category",14,"Category2","Technical")</f>
        <v>0</v>
      </c>
      <c r="H203" s="313">
        <f>+'NEW-Tables 80-86'!J111+'NEW-Tables 80-86'!J142</f>
        <v>0</v>
      </c>
      <c r="I203" s="108">
        <f>+GETPIVOTDATA("Sum of New-HS % of Total",'Pivot-HS Student % of Undergrad'!$A$3,"State","MD","Category2","Group3")</f>
        <v>0</v>
      </c>
      <c r="J203" s="1"/>
      <c r="K203" s="1"/>
      <c r="L203" s="1"/>
      <c r="M203" s="346"/>
      <c r="Q203" s="25" t="s">
        <v>427</v>
      </c>
      <c r="R203" s="359">
        <f>+GETPIVOTDATA("Sum of Old-HS % of Total",'Pivot-HS Student % of Undergrad'!$A$3,"State","MD","Category",12,"Category2","Technical")</f>
        <v>0</v>
      </c>
      <c r="S203" s="393" t="e">
        <f>+'Pivot-HS Student % of Undergrad'!AL61*100</f>
        <v>#VALUE!</v>
      </c>
      <c r="T203" s="402">
        <f>+GETPIVOTDATA("Sum of Old-HS % of Total",'Pivot-HS Student % of Undergrad'!$A$3,"State","MD","Category",13,"Category2","Technical")</f>
        <v>0</v>
      </c>
      <c r="U203" s="393" t="e">
        <f>+'Pivot-HS Student % of Undergrad'!AM61*100</f>
        <v>#VALUE!</v>
      </c>
      <c r="V203" s="402">
        <f>+GETPIVOTDATA("Sum of Old-HS % of Total",'Pivot-HS Student % of Undergrad'!$A$3,"State","MD","Category",14,"Category2","Technical")</f>
        <v>0</v>
      </c>
      <c r="W203" s="393" t="e">
        <f>+'Pivot-HS Student % of Undergrad'!AN61*100</f>
        <v>#VALUE!</v>
      </c>
      <c r="X203" s="402">
        <f>+GETPIVOTDATA("Sum of Old-HS % of Total",'Pivot-HS Student % of Undergrad'!$A$3,"State","MD","Category2","Technical")</f>
        <v>0</v>
      </c>
      <c r="Y203" s="393" t="e">
        <f>+'Pivot-HS Student % of Undergrad'!AO61*100</f>
        <v>#VALUE!</v>
      </c>
      <c r="AA203" s="190" t="s">
        <v>427</v>
      </c>
      <c r="AB203" s="205"/>
      <c r="AC203" s="207"/>
      <c r="AD203" s="205"/>
      <c r="AE203" s="207"/>
      <c r="AL203" s="112" t="s">
        <v>427</v>
      </c>
      <c r="AM203" s="84">
        <f t="shared" si="7"/>
        <v>0</v>
      </c>
      <c r="AN203" s="83">
        <f t="shared" si="8"/>
        <v>0</v>
      </c>
      <c r="AO203" s="83">
        <f t="shared" si="9"/>
        <v>0</v>
      </c>
      <c r="AP203" s="83">
        <f t="shared" si="10"/>
        <v>0</v>
      </c>
      <c r="AQ203" s="112"/>
      <c r="AR203" s="112"/>
      <c r="AS203" s="145"/>
      <c r="AT203" s="144"/>
      <c r="AU203" s="83"/>
      <c r="AV203" s="144"/>
      <c r="AW203" s="112" t="s">
        <v>427</v>
      </c>
      <c r="AX203" s="111">
        <f>+'NEW-Tables 80-86'!W111+'NEW-Tables 80-86'!W142</f>
        <v>0</v>
      </c>
      <c r="AY203" s="110">
        <f>+'NEW-Tables 80-86'!X111+'NEW-Tables 80-86'!X142</f>
        <v>0</v>
      </c>
      <c r="AZ203" s="83">
        <f>+'NEW-Tables 80-86'!Y111+'NEW-Tables 80-86'!Y142</f>
        <v>0</v>
      </c>
      <c r="BA203" s="83">
        <f>+'NEW-Tables 80-86'!Z111+'NEW-Tables 80-86'!Z142</f>
        <v>0</v>
      </c>
      <c r="BB203" s="112"/>
      <c r="BC203" s="112"/>
    </row>
    <row r="204" spans="1:55">
      <c r="B204" s="33"/>
      <c r="C204" s="108"/>
      <c r="D204" s="313"/>
      <c r="E204" s="108"/>
      <c r="F204" s="311"/>
      <c r="G204" s="108"/>
      <c r="H204" s="313"/>
      <c r="I204" s="108"/>
      <c r="J204" s="1"/>
      <c r="K204" s="1"/>
      <c r="L204" s="1"/>
      <c r="M204" s="346"/>
      <c r="Q204" s="25"/>
      <c r="R204" s="359"/>
      <c r="S204" s="393"/>
      <c r="T204" s="402"/>
      <c r="U204" s="393"/>
      <c r="V204" s="402"/>
      <c r="W204" s="393"/>
      <c r="X204" s="402"/>
      <c r="Y204" s="393"/>
      <c r="AA204" s="190"/>
      <c r="AB204" s="205"/>
      <c r="AC204" s="207"/>
      <c r="AD204" s="205"/>
      <c r="AE204" s="207"/>
      <c r="AL204" s="112"/>
      <c r="AM204" s="84"/>
      <c r="AN204" s="83"/>
      <c r="AO204" s="83"/>
      <c r="AP204" s="83"/>
      <c r="AQ204" s="112"/>
      <c r="AR204" s="112"/>
      <c r="AS204" s="145"/>
      <c r="AT204" s="144"/>
      <c r="AU204" s="83"/>
      <c r="AV204" s="144"/>
      <c r="AW204" s="112"/>
      <c r="AX204" s="111"/>
      <c r="AY204" s="110"/>
      <c r="AZ204" s="83"/>
      <c r="BA204" s="83"/>
      <c r="BB204" s="112"/>
      <c r="BC204" s="112"/>
    </row>
    <row r="205" spans="1:55">
      <c r="A205" s="1" t="s">
        <v>428</v>
      </c>
      <c r="B205" s="33">
        <f>+'NEW-Tables 80-86'!G113+'NEW-Tables 80-86'!G144</f>
        <v>0</v>
      </c>
      <c r="C205" s="108">
        <f>+GETPIVOTDATA("Sum of New-HS % of Total",'Pivot-HS Student % of Undergrad'!$A$3,"State","MS","Category",12,"Category2","Technical")</f>
        <v>0</v>
      </c>
      <c r="D205" s="313">
        <f>+'NEW-Tables 80-86'!H113+'NEW-Tables 80-86'!H144</f>
        <v>0</v>
      </c>
      <c r="E205" s="108">
        <f>+GETPIVOTDATA("Sum of New-HS % of Total",'Pivot-HS Student % of Undergrad'!$A$3,"State","MS","Category",13,"Category2","Technical")</f>
        <v>0</v>
      </c>
      <c r="F205" s="311">
        <f>+'NEW-Tables 80-86'!I113+'NEW-Tables 80-86'!I144</f>
        <v>0</v>
      </c>
      <c r="G205" s="108">
        <f>+GETPIVOTDATA("Sum of New-HS % of Total",'Pivot-HS Student % of Undergrad'!$A$3,"State","MS","Category",14,"Category2","Technical")</f>
        <v>0</v>
      </c>
      <c r="H205" s="313">
        <f>+'NEW-Tables 80-86'!J113+'NEW-Tables 80-86'!J144</f>
        <v>0</v>
      </c>
      <c r="I205" s="108">
        <f>+GETPIVOTDATA("Sum of New-HS % of Total",'Pivot-HS Student % of Undergrad'!$A$3,"State","MS","Category2","Group3")</f>
        <v>0</v>
      </c>
      <c r="J205" s="1"/>
      <c r="K205" s="1"/>
      <c r="L205" s="1"/>
      <c r="M205" s="346"/>
      <c r="Q205" s="25" t="s">
        <v>428</v>
      </c>
      <c r="R205" s="359">
        <f>+GETPIVOTDATA("Sum of Old-HS % of Total",'Pivot-HS Student % of Undergrad'!$A$3,"State","MS","Category",12,"Category2","Technical")</f>
        <v>0</v>
      </c>
      <c r="S205" s="393" t="e">
        <f>+'Pivot-HS Student % of Undergrad'!AL68*100</f>
        <v>#VALUE!</v>
      </c>
      <c r="T205" s="402">
        <f>+GETPIVOTDATA("Sum of Old-HS % of Total",'Pivot-HS Student % of Undergrad'!$A$3,"State","MS","Category",13,"Category2","Technical")</f>
        <v>0</v>
      </c>
      <c r="U205" s="393" t="e">
        <f>+'Pivot-HS Student % of Undergrad'!AM68*100</f>
        <v>#VALUE!</v>
      </c>
      <c r="V205" s="402">
        <f>+GETPIVOTDATA("Sum of Old-HS % of Total",'Pivot-HS Student % of Undergrad'!$A$3,"State","MS","Category",14,"Category2","Technical")</f>
        <v>0</v>
      </c>
      <c r="W205" s="393" t="e">
        <f>+'Pivot-HS Student % of Undergrad'!AN68*100</f>
        <v>#VALUE!</v>
      </c>
      <c r="X205" s="402">
        <f>+GETPIVOTDATA("Sum of Old-HS % of Total",'Pivot-HS Student % of Undergrad'!$A$3,"State","MS","Category2","Technical")</f>
        <v>0</v>
      </c>
      <c r="Y205" s="393" t="e">
        <f>+'Pivot-HS Student % of Undergrad'!AO68*100</f>
        <v>#VALUE!</v>
      </c>
      <c r="AA205" s="190" t="s">
        <v>428</v>
      </c>
      <c r="AB205" s="205">
        <f>+'NEW-Tables 80-86'!W113+'NEW-Tables 80-86'!W144</f>
        <v>0</v>
      </c>
      <c r="AC205" s="207">
        <f>+'NEW-Tables 80-86'!X113+'NEW-Tables 80-86'!X144</f>
        <v>0</v>
      </c>
      <c r="AD205" s="205">
        <f>+'NEW-Tables 80-86'!Y113+'NEW-Tables 80-86'!Y144</f>
        <v>0</v>
      </c>
      <c r="AE205" s="207">
        <f>+'NEW-Tables 80-86'!Z113+'NEW-Tables 80-86'!Z144</f>
        <v>0</v>
      </c>
      <c r="AL205" s="112" t="s">
        <v>428</v>
      </c>
      <c r="AM205" s="84">
        <f t="shared" si="7"/>
        <v>0</v>
      </c>
      <c r="AN205" s="83">
        <f t="shared" si="8"/>
        <v>0</v>
      </c>
      <c r="AO205" s="83">
        <f t="shared" si="9"/>
        <v>0</v>
      </c>
      <c r="AP205" s="83">
        <f t="shared" si="10"/>
        <v>0</v>
      </c>
      <c r="AQ205" s="112"/>
      <c r="AR205" s="112"/>
      <c r="AS205" s="145"/>
      <c r="AT205" s="144"/>
      <c r="AU205" s="83"/>
      <c r="AV205" s="144"/>
      <c r="AW205" s="112" t="s">
        <v>428</v>
      </c>
      <c r="AX205" s="111">
        <f>+'NEW-Tables 80-86'!W113+'NEW-Tables 80-86'!W144</f>
        <v>0</v>
      </c>
      <c r="AY205" s="110">
        <f>+'NEW-Tables 80-86'!X113+'NEW-Tables 80-86'!X144</f>
        <v>0</v>
      </c>
      <c r="AZ205" s="83">
        <f>+'NEW-Tables 80-86'!Y113+'NEW-Tables 80-86'!Y144</f>
        <v>0</v>
      </c>
      <c r="BA205" s="83">
        <f>+'NEW-Tables 80-86'!Z113+'NEW-Tables 80-86'!Z144</f>
        <v>0</v>
      </c>
      <c r="BB205" s="112"/>
      <c r="BC205" s="112"/>
    </row>
    <row r="206" spans="1:55">
      <c r="A206" s="1" t="s">
        <v>429</v>
      </c>
      <c r="B206" s="33">
        <f>+'NEW-Tables 80-86'!G114+'NEW-Tables 80-86'!G145</f>
        <v>0</v>
      </c>
      <c r="C206" s="108">
        <f>+GETPIVOTDATA("Sum of New-HS % of Total",'Pivot-HS Student % of Undergrad'!$A$3,"State","NC","Category",12,"Category2","Technical")</f>
        <v>0</v>
      </c>
      <c r="D206" s="313">
        <f>+'NEW-Tables 80-86'!H114+'NEW-Tables 80-86'!H145</f>
        <v>0</v>
      </c>
      <c r="E206" s="108">
        <f>+GETPIVOTDATA("Sum of New-HS % of Total",'Pivot-HS Student % of Undergrad'!$A$3,"State","NC","Category",13,"Category2","Technical")</f>
        <v>0</v>
      </c>
      <c r="F206" s="311">
        <f>+'NEW-Tables 80-86'!I114+'NEW-Tables 80-86'!I145</f>
        <v>0</v>
      </c>
      <c r="G206" s="108">
        <f>+GETPIVOTDATA("Sum of New-HS % of Total",'Pivot-HS Student % of Undergrad'!$A$3,"State","NC","Category",14,"Category2","Technical")</f>
        <v>0</v>
      </c>
      <c r="H206" s="313">
        <f>+'NEW-Tables 80-86'!J114+'NEW-Tables 80-86'!J145</f>
        <v>0</v>
      </c>
      <c r="I206" s="108">
        <f>+GETPIVOTDATA("Sum of New-HS % of Total",'Pivot-HS Student % of Undergrad'!$A$3,"State","NC","Category2","Group3")</f>
        <v>0</v>
      </c>
      <c r="J206" s="1"/>
      <c r="K206" s="1"/>
      <c r="L206" s="1"/>
      <c r="M206" s="346"/>
      <c r="Q206" s="25" t="s">
        <v>429</v>
      </c>
      <c r="R206" s="359">
        <f>+GETPIVOTDATA("Sum of Old-HS % of Total",'Pivot-HS Student % of Undergrad'!$A$3,"State","NC","Category",12,"Category2","Technical")</f>
        <v>0</v>
      </c>
      <c r="S206" s="406" t="e">
        <f>+'Pivot-HS Student % of Undergrad'!AL75*100</f>
        <v>#VALUE!</v>
      </c>
      <c r="T206" s="402">
        <f>+GETPIVOTDATA("Sum of Old-HS % of Total",'Pivot-HS Student % of Undergrad'!$A$3,"State","NC","Category",13,"Category2","Technical")</f>
        <v>0</v>
      </c>
      <c r="U206" s="406" t="e">
        <f>+'Pivot-HS Student % of Undergrad'!AM75*100</f>
        <v>#VALUE!</v>
      </c>
      <c r="V206" s="402">
        <f>+GETPIVOTDATA("Sum of Old-HS % of Total",'Pivot-HS Student % of Undergrad'!$A$3,"State","NC","Category",14,"Category2","Technical")</f>
        <v>0</v>
      </c>
      <c r="W206" s="406" t="e">
        <f>+'Pivot-HS Student % of Undergrad'!AN75*100</f>
        <v>#VALUE!</v>
      </c>
      <c r="X206" s="402">
        <f>+GETPIVOTDATA("Sum of Old-HS % of Total",'Pivot-HS Student % of Undergrad'!$A$3,"State","NC","Category2","Technical")</f>
        <v>0</v>
      </c>
      <c r="Y206" s="406" t="e">
        <f>+'Pivot-HS Student % of Undergrad'!AO75*100</f>
        <v>#VALUE!</v>
      </c>
      <c r="AA206" s="190" t="s">
        <v>429</v>
      </c>
      <c r="AB206" s="205">
        <f>+'NEW-Tables 80-86'!W114+'NEW-Tables 80-86'!W145</f>
        <v>0</v>
      </c>
      <c r="AC206" s="207">
        <f>+'NEW-Tables 80-86'!X114+'NEW-Tables 80-86'!X145</f>
        <v>0</v>
      </c>
      <c r="AD206" s="205">
        <f>+'NEW-Tables 80-86'!Y114+'NEW-Tables 80-86'!Y145</f>
        <v>0</v>
      </c>
      <c r="AE206" s="207">
        <f>+'NEW-Tables 80-86'!Z114+'NEW-Tables 80-86'!Z145</f>
        <v>0</v>
      </c>
      <c r="AL206" s="112" t="s">
        <v>429</v>
      </c>
      <c r="AM206" s="84">
        <f t="shared" si="7"/>
        <v>0</v>
      </c>
      <c r="AN206" s="83">
        <f t="shared" si="8"/>
        <v>0</v>
      </c>
      <c r="AO206" s="83">
        <f t="shared" si="9"/>
        <v>0</v>
      </c>
      <c r="AP206" s="83">
        <f t="shared" si="10"/>
        <v>0</v>
      </c>
      <c r="AQ206" s="112"/>
      <c r="AR206" s="112"/>
      <c r="AS206" s="145"/>
      <c r="AT206" s="144"/>
      <c r="AU206" s="83"/>
      <c r="AV206" s="144"/>
      <c r="AW206" s="112" t="s">
        <v>429</v>
      </c>
      <c r="AX206" s="111">
        <f>+'NEW-Tables 80-86'!W114+'NEW-Tables 80-86'!W145</f>
        <v>0</v>
      </c>
      <c r="AY206" s="110">
        <f>+'NEW-Tables 80-86'!X114+'NEW-Tables 80-86'!X145</f>
        <v>0</v>
      </c>
      <c r="AZ206" s="83">
        <f>+'NEW-Tables 80-86'!Y114+'NEW-Tables 80-86'!Y145</f>
        <v>0</v>
      </c>
      <c r="BA206" s="83">
        <f>+'NEW-Tables 80-86'!Z114+'NEW-Tables 80-86'!Z145</f>
        <v>0</v>
      </c>
      <c r="BB206" s="112"/>
      <c r="BC206" s="112"/>
    </row>
    <row r="207" spans="1:55">
      <c r="A207" s="1" t="s">
        <v>430</v>
      </c>
      <c r="B207" s="33">
        <f>+'NEW-Tables 80-86'!G115+'NEW-Tables 80-86'!G146</f>
        <v>6009.1622222222222</v>
      </c>
      <c r="C207" s="108">
        <f>+GETPIVOTDATA("Sum of New-HS % of Total",'Pivot-HS Student % of Undergrad'!$A$3,"State","OK","Category",12,"Category2","Technical")</f>
        <v>0</v>
      </c>
      <c r="D207" s="313">
        <f>+'NEW-Tables 80-86'!H115+'NEW-Tables 80-86'!H146</f>
        <v>19708.937611111109</v>
      </c>
      <c r="E207" s="108">
        <f>+GETPIVOTDATA("Sum of New-HS % of Total",'Pivot-HS Student % of Undergrad'!$A$3,"State","OK","Category",13,"Category2","Technical")</f>
        <v>0</v>
      </c>
      <c r="F207" s="311">
        <f>+'NEW-Tables 80-86'!I115+'NEW-Tables 80-86'!I146</f>
        <v>0</v>
      </c>
      <c r="G207" s="108">
        <f>+GETPIVOTDATA("Sum of New-HS % of Total",'Pivot-HS Student % of Undergrad'!$A$3,"State","OK","Category",14,"Category2","Technical")</f>
        <v>0</v>
      </c>
      <c r="H207" s="313">
        <f>+'NEW-Tables 80-86'!J115+'NEW-Tables 80-86'!J146</f>
        <v>25718.09983333333</v>
      </c>
      <c r="I207" s="108">
        <f>+GETPIVOTDATA("Sum of New-HS % of Total",'Pivot-HS Student % of Undergrad'!$A$3,"State","OK","Category2","Group3")</f>
        <v>0</v>
      </c>
      <c r="J207" s="1"/>
      <c r="K207" s="1"/>
      <c r="L207" s="1"/>
      <c r="M207" s="346"/>
      <c r="Q207" s="25" t="s">
        <v>430</v>
      </c>
      <c r="R207" s="359">
        <f>+GETPIVOTDATA("Sum of Old-HS % of Total",'Pivot-HS Student % of Undergrad'!$A$3,"State","OK","Category",12,"Category2","Technical")</f>
        <v>0</v>
      </c>
      <c r="S207" s="393" t="e">
        <f>+'Pivot-HS Student % of Undergrad'!AL82*100</f>
        <v>#VALUE!</v>
      </c>
      <c r="T207" s="402">
        <f>+GETPIVOTDATA("Sum of Old-HS % of Total",'Pivot-HS Student % of Undergrad'!$A$3,"State","OK","Category",13,"Category2","Technical")</f>
        <v>0</v>
      </c>
      <c r="U207" s="393" t="e">
        <f>+'Pivot-HS Student % of Undergrad'!AM82*100</f>
        <v>#VALUE!</v>
      </c>
      <c r="V207" s="402">
        <f>+GETPIVOTDATA("Sum of Old-HS % of Total",'Pivot-HS Student % of Undergrad'!$A$3,"State","OK","Category",14,"Category2","Technical")</f>
        <v>0</v>
      </c>
      <c r="W207" s="393" t="e">
        <f>+'Pivot-HS Student % of Undergrad'!AN82*100</f>
        <v>#VALUE!</v>
      </c>
      <c r="X207" s="402">
        <f>+GETPIVOTDATA("Sum of Old-HS % of Total",'Pivot-HS Student % of Undergrad'!$A$3,"State","OK","Category2","Technical")</f>
        <v>0</v>
      </c>
      <c r="Y207" s="393" t="e">
        <f>+'Pivot-HS Student % of Undergrad'!AO82*100</f>
        <v>#VALUE!</v>
      </c>
      <c r="AA207" s="190" t="s">
        <v>430</v>
      </c>
      <c r="AB207" s="205">
        <f>+'NEW-Tables 80-86'!W115+'NEW-Tables 80-86'!W146</f>
        <v>6795.3086222222237</v>
      </c>
      <c r="AC207" s="207">
        <f>+'NEW-Tables 80-86'!X115+'NEW-Tables 80-86'!X146</f>
        <v>20184.214066666664</v>
      </c>
      <c r="AD207" s="205">
        <f>+'NEW-Tables 80-86'!Y115+'NEW-Tables 80-86'!Y146</f>
        <v>0</v>
      </c>
      <c r="AE207" s="207">
        <f>+'NEW-Tables 80-86'!Z115+'NEW-Tables 80-86'!Z146</f>
        <v>26979.522688888886</v>
      </c>
      <c r="AL207" s="112" t="s">
        <v>430</v>
      </c>
      <c r="AM207" s="84">
        <f t="shared" si="7"/>
        <v>6009.1622222222222</v>
      </c>
      <c r="AN207" s="83">
        <f t="shared" si="8"/>
        <v>19708.937611111109</v>
      </c>
      <c r="AO207" s="83">
        <f t="shared" si="9"/>
        <v>0</v>
      </c>
      <c r="AP207" s="83">
        <f t="shared" si="10"/>
        <v>25718.09983333333</v>
      </c>
      <c r="AQ207" s="112"/>
      <c r="AR207" s="112"/>
      <c r="AS207" s="145"/>
      <c r="AT207" s="144"/>
      <c r="AU207" s="83"/>
      <c r="AV207" s="144"/>
      <c r="AW207" s="112" t="s">
        <v>430</v>
      </c>
      <c r="AX207" s="111">
        <f>+'NEW-Tables 80-86'!W115+'NEW-Tables 80-86'!W146</f>
        <v>6795.3086222222237</v>
      </c>
      <c r="AY207" s="110">
        <f>+'NEW-Tables 80-86'!X115+'NEW-Tables 80-86'!X146</f>
        <v>20184.214066666664</v>
      </c>
      <c r="AZ207" s="83">
        <f>+'NEW-Tables 80-86'!Y115+'NEW-Tables 80-86'!Y146</f>
        <v>0</v>
      </c>
      <c r="BA207" s="83">
        <f>+'NEW-Tables 80-86'!Z115+'NEW-Tables 80-86'!Z146</f>
        <v>26979.522688888886</v>
      </c>
      <c r="BB207" s="112"/>
      <c r="BC207" s="112"/>
    </row>
    <row r="208" spans="1:55">
      <c r="A208" s="1" t="s">
        <v>431</v>
      </c>
      <c r="B208" s="33">
        <f>+'NEW-Tables 80-86'!G116+'NEW-Tables 80-86'!G147</f>
        <v>0</v>
      </c>
      <c r="C208" s="108">
        <f>+GETPIVOTDATA("Sum of New-HS % of Total",'Pivot-HS Student % of Undergrad'!$A$3,"State","SC","Category",12,"Category2","Technical")</f>
        <v>0</v>
      </c>
      <c r="D208" s="313">
        <f>+'NEW-Tables 80-86'!H116+'NEW-Tables 80-86'!H147</f>
        <v>0</v>
      </c>
      <c r="E208" s="108">
        <f>+GETPIVOTDATA("Sum of New-HS % of Total",'Pivot-HS Student % of Undergrad'!$A$3,"State","SC","Category",13,"Category2","Technical")</f>
        <v>0</v>
      </c>
      <c r="F208" s="311">
        <f>+'NEW-Tables 80-86'!I116+'NEW-Tables 80-86'!I147</f>
        <v>0</v>
      </c>
      <c r="G208" s="108">
        <f>+GETPIVOTDATA("Sum of New-HS % of Total",'Pivot-HS Student % of Undergrad'!$A$3,"State","SC","Category",14,"Category2","Technical")</f>
        <v>0</v>
      </c>
      <c r="H208" s="313">
        <f>+'NEW-Tables 80-86'!J116+'NEW-Tables 80-86'!J147</f>
        <v>0</v>
      </c>
      <c r="I208" s="108">
        <f>+GETPIVOTDATA("Sum of New-HS % of Total",'Pivot-HS Student % of Undergrad'!$A$3,"State","SC","Category2","Group3")</f>
        <v>0</v>
      </c>
      <c r="J208" s="1"/>
      <c r="K208" s="1"/>
      <c r="L208" s="1"/>
      <c r="M208" s="346"/>
      <c r="Q208" s="25" t="s">
        <v>431</v>
      </c>
      <c r="R208" s="359">
        <f>+GETPIVOTDATA("Sum of Old-HS % of Total",'Pivot-HS Student % of Undergrad'!$A$3,"State","SC","Category",12,"Category2","Technical")</f>
        <v>0</v>
      </c>
      <c r="S208" s="393" t="e">
        <f>+'Pivot-HS Student % of Undergrad'!AL89*100</f>
        <v>#VALUE!</v>
      </c>
      <c r="T208" s="402">
        <f>+GETPIVOTDATA("Sum of Old-HS % of Total",'Pivot-HS Student % of Undergrad'!$A$3,"State","SC","Category",13,"Category2","Technical")</f>
        <v>0</v>
      </c>
      <c r="U208" s="393" t="e">
        <f>+'Pivot-HS Student % of Undergrad'!AM89*100</f>
        <v>#VALUE!</v>
      </c>
      <c r="V208" s="402">
        <f>+GETPIVOTDATA("Sum of Old-HS % of Total",'Pivot-HS Student % of Undergrad'!$A$3,"State","SC","Category",14,"Category2","Technical")</f>
        <v>0</v>
      </c>
      <c r="W208" s="393" t="e">
        <f>+'Pivot-HS Student % of Undergrad'!AN89*100</f>
        <v>#VALUE!</v>
      </c>
      <c r="X208" s="402">
        <f>+GETPIVOTDATA("Sum of Old-HS % of Total",'Pivot-HS Student % of Undergrad'!$A$3,"State","SC","Category2","Technical")</f>
        <v>0</v>
      </c>
      <c r="Y208" s="393" t="e">
        <f>+'Pivot-HS Student % of Undergrad'!AO89*100</f>
        <v>#VALUE!</v>
      </c>
      <c r="AA208" s="190" t="s">
        <v>431</v>
      </c>
      <c r="AB208" s="205"/>
      <c r="AC208" s="207"/>
      <c r="AD208" s="205"/>
      <c r="AE208" s="207"/>
      <c r="AL208" s="112" t="s">
        <v>431</v>
      </c>
      <c r="AM208" s="84">
        <f>+B208</f>
        <v>0</v>
      </c>
      <c r="AN208" s="83">
        <f t="shared" si="8"/>
        <v>0</v>
      </c>
      <c r="AO208" s="83">
        <f>+F208</f>
        <v>0</v>
      </c>
      <c r="AP208" s="83">
        <f>+H208</f>
        <v>0</v>
      </c>
      <c r="AQ208" s="112"/>
      <c r="AR208" s="112"/>
      <c r="AS208" s="145"/>
      <c r="AT208" s="144"/>
      <c r="AU208" s="83"/>
      <c r="AV208" s="144"/>
      <c r="AW208" s="112" t="s">
        <v>431</v>
      </c>
      <c r="AX208" s="111">
        <f>+'NEW-Tables 80-86'!W116+'NEW-Tables 80-86'!W147</f>
        <v>0</v>
      </c>
      <c r="AY208" s="110">
        <f>+'NEW-Tables 80-86'!X116+'NEW-Tables 80-86'!X147</f>
        <v>0</v>
      </c>
      <c r="AZ208" s="83">
        <f>+'NEW-Tables 80-86'!Y116+'NEW-Tables 80-86'!Y147</f>
        <v>0</v>
      </c>
      <c r="BA208" s="83">
        <f>+'NEW-Tables 80-86'!Z116+'NEW-Tables 80-86'!Z147</f>
        <v>0</v>
      </c>
      <c r="BB208" s="112"/>
      <c r="BC208" s="112"/>
    </row>
    <row r="209" spans="1:55" ht="11.25" customHeight="1">
      <c r="B209" s="33"/>
      <c r="C209" s="108"/>
      <c r="D209" s="313"/>
      <c r="E209" s="108"/>
      <c r="F209" s="311"/>
      <c r="G209" s="108"/>
      <c r="H209" s="313"/>
      <c r="I209" s="108"/>
      <c r="J209" s="1"/>
      <c r="K209" s="1"/>
      <c r="L209" s="1"/>
      <c r="M209" s="346"/>
      <c r="Q209" s="25"/>
      <c r="R209" s="359"/>
      <c r="S209" s="393"/>
      <c r="T209" s="402"/>
      <c r="U209" s="393"/>
      <c r="V209" s="402"/>
      <c r="W209" s="393"/>
      <c r="X209" s="402"/>
      <c r="Y209" s="393"/>
      <c r="AA209" s="190"/>
      <c r="AB209" s="205"/>
      <c r="AC209" s="207"/>
      <c r="AD209" s="205"/>
      <c r="AE209" s="207"/>
      <c r="AL209" s="112"/>
      <c r="AM209" s="84"/>
      <c r="AN209" s="83"/>
      <c r="AO209" s="83"/>
      <c r="AP209" s="83"/>
      <c r="AQ209" s="112"/>
      <c r="AR209" s="112"/>
      <c r="AS209" s="145"/>
      <c r="AT209" s="144"/>
      <c r="AU209" s="83"/>
      <c r="AV209" s="144"/>
      <c r="AW209" s="112"/>
      <c r="AX209" s="111"/>
      <c r="AY209" s="110"/>
      <c r="AZ209" s="83"/>
      <c r="BA209" s="83"/>
      <c r="BB209" s="112"/>
      <c r="BC209" s="112"/>
    </row>
    <row r="210" spans="1:55">
      <c r="A210" s="1" t="s">
        <v>432</v>
      </c>
      <c r="B210" s="33">
        <f>+'NEW-Tables 80-86'!G118+'NEW-Tables 80-86'!G149</f>
        <v>0</v>
      </c>
      <c r="C210" s="108">
        <f>+GETPIVOTDATA("Sum of New-HS % of Total",'Pivot-HS Student % of Undergrad'!$A$3,"State","TN","Category",12,"Category2","Technical")</f>
        <v>0</v>
      </c>
      <c r="D210" s="313">
        <f>+'NEW-Tables 80-86'!H118+'NEW-Tables 80-86'!H149</f>
        <v>12836.998888888886</v>
      </c>
      <c r="E210" s="108">
        <f>+GETPIVOTDATA("Sum of New-HS % of Total",'Pivot-HS Student % of Undergrad'!$A$3,"State","TN","Category",13,"Category2","Technical")</f>
        <v>0</v>
      </c>
      <c r="F210" s="311">
        <f>+'NEW-Tables 80-86'!I118+'NEW-Tables 80-86'!I149</f>
        <v>0</v>
      </c>
      <c r="G210" s="108">
        <f>+GETPIVOTDATA("Sum of New-HS % of Total",'Pivot-HS Student % of Undergrad'!$A$3,"State","TN","Category",14,"Category2","Technical")</f>
        <v>0</v>
      </c>
      <c r="H210" s="313">
        <f>+'NEW-Tables 80-86'!J118+'NEW-Tables 80-86'!J149</f>
        <v>12836.998888888886</v>
      </c>
      <c r="I210" s="108">
        <f>+GETPIVOTDATA("Sum of New-HS % of Total",'Pivot-HS Student % of Undergrad'!$A$3,"State","TN","Category2","Group3")</f>
        <v>0</v>
      </c>
      <c r="J210" s="1"/>
      <c r="K210" s="1"/>
      <c r="L210" s="1"/>
      <c r="M210" s="346"/>
      <c r="Q210" s="25" t="s">
        <v>432</v>
      </c>
      <c r="R210" s="359">
        <f>+GETPIVOTDATA("Sum of Old-HS % of Total",'Pivot-HS Student % of Undergrad'!$A$3,"State","TN","Category",12,"Category2","Technical")</f>
        <v>0</v>
      </c>
      <c r="S210" s="393" t="e">
        <f>+'Pivot-HS Student % of Undergrad'!AL96*100</f>
        <v>#VALUE!</v>
      </c>
      <c r="T210" s="402">
        <f>+GETPIVOTDATA("Sum of Old-HS % of Total",'Pivot-HS Student % of Undergrad'!$A$3,"State","TN","Category",13,"Category2","Technical")</f>
        <v>0</v>
      </c>
      <c r="U210" s="393" t="e">
        <f>+'Pivot-HS Student % of Undergrad'!AM96*100</f>
        <v>#VALUE!</v>
      </c>
      <c r="V210" s="402">
        <f>+GETPIVOTDATA("Sum of Old-HS % of Total",'Pivot-HS Student % of Undergrad'!$A$3,"State","TN","Category",14,"Category2","Technical")</f>
        <v>0</v>
      </c>
      <c r="W210" s="393" t="e">
        <f>+'Pivot-HS Student % of Undergrad'!AN96*100</f>
        <v>#VALUE!</v>
      </c>
      <c r="X210" s="402">
        <f>+GETPIVOTDATA("Sum of Old-HS % of Total",'Pivot-HS Student % of Undergrad'!$A$3,"State","TN","Category2","Technical")</f>
        <v>0</v>
      </c>
      <c r="Y210" s="393" t="e">
        <f>+'Pivot-HS Student % of Undergrad'!AO96*100</f>
        <v>#VALUE!</v>
      </c>
      <c r="AA210" s="190" t="s">
        <v>432</v>
      </c>
      <c r="AB210" s="205">
        <f>+'NEW-Tables 80-86'!W118+'NEW-Tables 80-86'!W149</f>
        <v>0</v>
      </c>
      <c r="AC210" s="207">
        <f>+'NEW-Tables 80-86'!X118+'NEW-Tables 80-86'!X149</f>
        <v>11037.255555555552</v>
      </c>
      <c r="AD210" s="205">
        <f>+'NEW-Tables 80-86'!Y118+'NEW-Tables 80-86'!Y149</f>
        <v>0</v>
      </c>
      <c r="AE210" s="207">
        <f>+'NEW-Tables 80-86'!Z118+'NEW-Tables 80-86'!Z149</f>
        <v>11037.255555555552</v>
      </c>
      <c r="AL210" s="112" t="s">
        <v>432</v>
      </c>
      <c r="AM210" s="84">
        <f>+B210</f>
        <v>0</v>
      </c>
      <c r="AN210" s="83">
        <f t="shared" si="8"/>
        <v>12836.998888888886</v>
      </c>
      <c r="AO210" s="83">
        <f>+F210</f>
        <v>0</v>
      </c>
      <c r="AP210" s="83">
        <f>+H210</f>
        <v>12836.998888888886</v>
      </c>
      <c r="AQ210" s="112"/>
      <c r="AR210" s="112"/>
      <c r="AS210" s="145"/>
      <c r="AT210" s="144"/>
      <c r="AU210" s="83"/>
      <c r="AV210" s="144"/>
      <c r="AW210" s="112" t="s">
        <v>432</v>
      </c>
      <c r="AX210" s="111">
        <f>+'NEW-Tables 80-86'!W118+'NEW-Tables 80-86'!W149</f>
        <v>0</v>
      </c>
      <c r="AY210" s="110">
        <f>+'NEW-Tables 80-86'!X118+'NEW-Tables 80-86'!X149</f>
        <v>11037.255555555552</v>
      </c>
      <c r="AZ210" s="83">
        <f>+'NEW-Tables 80-86'!Y118+'NEW-Tables 80-86'!Y149</f>
        <v>0</v>
      </c>
      <c r="BA210" s="83">
        <f>+'NEW-Tables 80-86'!Z118+'NEW-Tables 80-86'!Z149</f>
        <v>11037.255555555552</v>
      </c>
      <c r="BB210" s="112"/>
      <c r="BC210" s="112"/>
    </row>
    <row r="211" spans="1:55">
      <c r="A211" s="1" t="s">
        <v>433</v>
      </c>
      <c r="B211" s="33">
        <f>+'NEW-Tables 80-86'!G119+'NEW-Tables 80-86'!G150</f>
        <v>0</v>
      </c>
      <c r="C211" s="359">
        <f>+GETPIVOTDATA("Sum of New-HS % of Total",'Pivot-HS Student % of Undergrad'!$A$3,"State","TX","Category",12,"Category2","Technical")</f>
        <v>0</v>
      </c>
      <c r="D211" s="313">
        <f>+'NEW-Tables 80-86'!H119+'NEW-Tables 80-86'!H150</f>
        <v>0</v>
      </c>
      <c r="E211" s="359">
        <f>+GETPIVOTDATA("Sum of New-HS % of Total",'Pivot-HS Student % of Undergrad'!$A$3,"State","TX","Category",13,"Category2","Technical")</f>
        <v>0</v>
      </c>
      <c r="F211" s="311">
        <f>+'NEW-Tables 80-86'!I119+'NEW-Tables 80-86'!I150</f>
        <v>0</v>
      </c>
      <c r="G211" s="359">
        <f>+GETPIVOTDATA("Sum of New-HS % of Total",'Pivot-HS Student % of Undergrad'!$A$3,"State","TX","Category",14,"Category2","Technical")</f>
        <v>0</v>
      </c>
      <c r="H211" s="313">
        <f>+'NEW-Tables 80-86'!J119+'NEW-Tables 80-86'!J150</f>
        <v>0</v>
      </c>
      <c r="I211" s="108">
        <f>+GETPIVOTDATA("Sum of New-HS % of Total",'Pivot-HS Student % of Undergrad'!$A$3,"State","TX","Category2","Group3")</f>
        <v>0</v>
      </c>
      <c r="J211" s="1"/>
      <c r="K211" s="1"/>
      <c r="L211" s="1"/>
      <c r="M211" s="346"/>
      <c r="Q211" s="25" t="s">
        <v>433</v>
      </c>
      <c r="R211" s="359">
        <f>+GETPIVOTDATA("Sum of Old-HS % of Total",'Pivot-HS Student % of Undergrad'!$A$3,"State","TX","Category",12,"Category2","Technical")</f>
        <v>0</v>
      </c>
      <c r="S211" s="406" t="e">
        <f>+'Pivot-HS Student % of Undergrad'!AL103*100</f>
        <v>#VALUE!</v>
      </c>
      <c r="T211" s="402">
        <f>+GETPIVOTDATA("Sum of Old-HS % of Total",'Pivot-HS Student % of Undergrad'!$A$3,"State","TX","Category",13,"Category2","Technical")</f>
        <v>0</v>
      </c>
      <c r="U211" s="406" t="e">
        <f>+'Pivot-HS Student % of Undergrad'!AM103*100</f>
        <v>#VALUE!</v>
      </c>
      <c r="V211" s="402">
        <f>+GETPIVOTDATA("Sum of Old-HS % of Total",'Pivot-HS Student % of Undergrad'!$A$3,"State","TX","Category",14,"Category2","Technical")</f>
        <v>0</v>
      </c>
      <c r="W211" s="406" t="e">
        <f>+'Pivot-HS Student % of Undergrad'!AN103*100</f>
        <v>#VALUE!</v>
      </c>
      <c r="X211" s="402">
        <f>+GETPIVOTDATA("Sum of Old-HS % of Total",'Pivot-HS Student % of Undergrad'!$A$3,"State","TX","Category2","Technical")</f>
        <v>0</v>
      </c>
      <c r="Y211" s="406" t="e">
        <f>+'Pivot-HS Student % of Undergrad'!AO103*100</f>
        <v>#VALUE!</v>
      </c>
      <c r="AA211" s="190" t="s">
        <v>433</v>
      </c>
      <c r="AB211" s="205">
        <f>+'NEW-Tables 80-86'!W119+'NEW-Tables 80-86'!W150</f>
        <v>0</v>
      </c>
      <c r="AC211" s="207">
        <f>+'NEW-Tables 80-86'!X119+'NEW-Tables 80-86'!X150</f>
        <v>0</v>
      </c>
      <c r="AD211" s="205">
        <f>+'NEW-Tables 80-86'!Y119+'NEW-Tables 80-86'!Y150</f>
        <v>0</v>
      </c>
      <c r="AE211" s="207">
        <f>+'NEW-Tables 80-86'!Z119+'NEW-Tables 80-86'!Z150</f>
        <v>0</v>
      </c>
      <c r="AL211" s="112" t="s">
        <v>433</v>
      </c>
      <c r="AM211" s="84">
        <f>+B211</f>
        <v>0</v>
      </c>
      <c r="AN211" s="83">
        <f t="shared" si="8"/>
        <v>0</v>
      </c>
      <c r="AO211" s="83">
        <f>+F211</f>
        <v>0</v>
      </c>
      <c r="AP211" s="83">
        <f>+H211</f>
        <v>0</v>
      </c>
      <c r="AQ211" s="112"/>
      <c r="AR211" s="112"/>
      <c r="AS211" s="145"/>
      <c r="AT211" s="144"/>
      <c r="AU211" s="83"/>
      <c r="AV211" s="144"/>
      <c r="AW211" s="112" t="s">
        <v>433</v>
      </c>
      <c r="AX211" s="111">
        <f>+'NEW-Tables 80-86'!W119+'NEW-Tables 80-86'!W150</f>
        <v>0</v>
      </c>
      <c r="AY211" s="110">
        <f>+'NEW-Tables 80-86'!X119+'NEW-Tables 80-86'!X150</f>
        <v>0</v>
      </c>
      <c r="AZ211" s="83">
        <f>+'NEW-Tables 80-86'!Y119+'NEW-Tables 80-86'!Y150</f>
        <v>0</v>
      </c>
      <c r="BA211" s="83">
        <f>+'NEW-Tables 80-86'!Z119+'NEW-Tables 80-86'!Z150</f>
        <v>0</v>
      </c>
      <c r="BB211" s="112"/>
      <c r="BC211" s="112"/>
    </row>
    <row r="212" spans="1:55">
      <c r="A212" s="1" t="s">
        <v>434</v>
      </c>
      <c r="B212" s="33">
        <f>+'NEW-Tables 80-86'!G120+'NEW-Tables 80-86'!G151</f>
        <v>0</v>
      </c>
      <c r="C212" s="359">
        <f>+GETPIVOTDATA("Sum of New-HS % of Total",'Pivot-HS Student % of Undergrad'!$A$3,"State","VA","Category",12,"Category2","Technical")</f>
        <v>0</v>
      </c>
      <c r="D212" s="313">
        <f>+'NEW-Tables 80-86'!H120+'NEW-Tables 80-86'!H151</f>
        <v>0</v>
      </c>
      <c r="E212" s="359">
        <f>+GETPIVOTDATA("Sum of New-HS % of Total",'Pivot-HS Student % of Undergrad'!$A$3,"State","VA","Category",13,"Category2","Technical")</f>
        <v>0</v>
      </c>
      <c r="F212" s="311">
        <f>+'NEW-Tables 80-86'!I120+'NEW-Tables 80-86'!I151</f>
        <v>0</v>
      </c>
      <c r="G212" s="359">
        <f>+GETPIVOTDATA("Sum of New-HS % of Total",'Pivot-HS Student % of Undergrad'!$A$3,"State","VA","Category",14,"Category2","Technical")</f>
        <v>0</v>
      </c>
      <c r="H212" s="313">
        <f>+'NEW-Tables 80-86'!J120+'NEW-Tables 80-86'!J151</f>
        <v>0</v>
      </c>
      <c r="I212" s="108">
        <f>+GETPIVOTDATA("Sum of New-HS % of Total",'Pivot-HS Student % of Undergrad'!$A$3,"State","VA","Category2","Group3")</f>
        <v>0</v>
      </c>
      <c r="J212" s="1"/>
      <c r="K212" s="1"/>
      <c r="L212" s="1"/>
      <c r="M212" s="346"/>
      <c r="Q212" s="25" t="s">
        <v>434</v>
      </c>
      <c r="R212" s="359">
        <f>+GETPIVOTDATA("Sum of Old-HS % of Total",'Pivot-HS Student % of Undergrad'!$A$3,"State","VA","Category",12,"Category2","Technical")</f>
        <v>0</v>
      </c>
      <c r="S212" s="393" t="e">
        <f>-'Pivot-HS Student % of Undergrad'!AL110*100</f>
        <v>#VALUE!</v>
      </c>
      <c r="T212" s="402">
        <f>+GETPIVOTDATA("Sum of Old-HS % of Total",'Pivot-HS Student % of Undergrad'!$A$3,"State","VA","Category",13,"Category2","Technical")</f>
        <v>0</v>
      </c>
      <c r="U212" s="393" t="e">
        <f>+'Pivot-HS Student % of Undergrad'!AM110*100</f>
        <v>#VALUE!</v>
      </c>
      <c r="V212" s="402">
        <f>+GETPIVOTDATA("Sum of Old-HS % of Total",'Pivot-HS Student % of Undergrad'!$A$3,"State","VA","Category",14,"Category2","Technical")</f>
        <v>0</v>
      </c>
      <c r="W212" s="393" t="e">
        <f>+'Pivot-HS Student % of Undergrad'!AN110*100</f>
        <v>#VALUE!</v>
      </c>
      <c r="X212" s="402">
        <f>+GETPIVOTDATA("Sum of Old-HS % of Total",'Pivot-HS Student % of Undergrad'!$A$3,"State","VA","Category2","Technical")</f>
        <v>0</v>
      </c>
      <c r="Y212" s="393" t="e">
        <f>+'Pivot-HS Student % of Undergrad'!AO110*100</f>
        <v>#VALUE!</v>
      </c>
      <c r="AA212" s="190" t="s">
        <v>434</v>
      </c>
      <c r="AB212" s="205">
        <f>+'NEW-Tables 80-86'!W120+'NEW-Tables 80-86'!W151</f>
        <v>0</v>
      </c>
      <c r="AC212" s="207">
        <f>+'NEW-Tables 80-86'!X120+'NEW-Tables 80-86'!X151</f>
        <v>0</v>
      </c>
      <c r="AD212" s="205">
        <f>+'NEW-Tables 80-86'!Y120+'NEW-Tables 80-86'!Y151</f>
        <v>0</v>
      </c>
      <c r="AE212" s="207">
        <f>+'NEW-Tables 80-86'!Z120+'NEW-Tables 80-86'!Z151</f>
        <v>0</v>
      </c>
      <c r="AL212" s="112" t="s">
        <v>434</v>
      </c>
      <c r="AM212" s="84">
        <f>+B212</f>
        <v>0</v>
      </c>
      <c r="AN212" s="83">
        <f>+D212</f>
        <v>0</v>
      </c>
      <c r="AO212" s="83">
        <f>+F212</f>
        <v>0</v>
      </c>
      <c r="AP212" s="83">
        <f>+H212</f>
        <v>0</v>
      </c>
      <c r="AQ212" s="112"/>
      <c r="AR212" s="112"/>
      <c r="AS212" s="145"/>
      <c r="AT212" s="144"/>
      <c r="AU212" s="83"/>
      <c r="AV212" s="144"/>
      <c r="AW212" s="112" t="s">
        <v>434</v>
      </c>
      <c r="AX212" s="111">
        <f>+'NEW-Tables 80-86'!W120+'NEW-Tables 80-86'!W151</f>
        <v>0</v>
      </c>
      <c r="AY212" s="110">
        <f>+'NEW-Tables 80-86'!X120+'NEW-Tables 80-86'!X151</f>
        <v>0</v>
      </c>
      <c r="AZ212" s="83">
        <f>+'NEW-Tables 80-86'!Y120+'NEW-Tables 80-86'!Y151</f>
        <v>0</v>
      </c>
      <c r="BA212" s="83">
        <f>+'NEW-Tables 80-86'!Z120+'NEW-Tables 80-86'!Z151</f>
        <v>0</v>
      </c>
      <c r="BB212" s="112"/>
      <c r="BC212" s="112"/>
    </row>
    <row r="213" spans="1:55">
      <c r="A213" s="3" t="s">
        <v>435</v>
      </c>
      <c r="B213" s="9">
        <f>+'NEW-Tables 80-86'!G121+'NEW-Tables 80-86'!G152</f>
        <v>0</v>
      </c>
      <c r="C213" s="361">
        <f>+GETPIVOTDATA("Sum of New-HS % of Total",'Pivot-HS Student % of Undergrad'!$A$3,"State","WV","Category",12,"Category2","Technical")</f>
        <v>0</v>
      </c>
      <c r="D213" s="314">
        <f>+'NEW-Tables 80-86'!H121+'NEW-Tables 80-86'!H152</f>
        <v>0</v>
      </c>
      <c r="E213" s="361">
        <f>+GETPIVOTDATA("Sum of New-HS % of Total",'Pivot-HS Student % of Undergrad'!$A$3,"State","WV","Category",13,"Category2","Technical")</f>
        <v>0</v>
      </c>
      <c r="F213" s="312">
        <f>+'NEW-Tables 80-86'!I121+'NEW-Tables 80-86'!I152</f>
        <v>0</v>
      </c>
      <c r="G213" s="361">
        <f>+GETPIVOTDATA("Sum of New-HS % of Total",'Pivot-HS Student % of Undergrad'!$A$3,"State","WV","Category",14,"Category2","Technical")</f>
        <v>0</v>
      </c>
      <c r="H213" s="314">
        <f>+'NEW-Tables 80-86'!J121+'NEW-Tables 80-86'!J152</f>
        <v>0</v>
      </c>
      <c r="I213" s="361">
        <f>+GETPIVOTDATA("Sum of New-HS % of Total",'Pivot-HS Student % of Undergrad'!$A$3,"State","WV","Category2","Group3")</f>
        <v>0</v>
      </c>
      <c r="J213" s="1"/>
      <c r="K213" s="1"/>
      <c r="L213" s="1"/>
      <c r="M213" s="346"/>
      <c r="Q213" s="3" t="s">
        <v>435</v>
      </c>
      <c r="R213" s="361">
        <f>+GETPIVOTDATA("Sum of Old-HS % of Total",'Pivot-HS Student % of Undergrad'!$A$3,"State","WV","Category",12,"Category2","Technical")</f>
        <v>0</v>
      </c>
      <c r="S213" s="401" t="e">
        <f>+'Pivot-HS Student % of Undergrad'!AL117*100</f>
        <v>#VALUE!</v>
      </c>
      <c r="T213" s="403">
        <f>+GETPIVOTDATA("Sum of Old-HS % of Total",'Pivot-HS Student % of Undergrad'!$A$3,"State","WV","Category",13,"Category2","Technical")</f>
        <v>0</v>
      </c>
      <c r="U213" s="401" t="e">
        <f>+'Pivot-HS Student % of Undergrad'!AM117*100</f>
        <v>#VALUE!</v>
      </c>
      <c r="V213" s="403">
        <f>+GETPIVOTDATA("Sum of Old-HS % of Total",'Pivot-HS Student % of Undergrad'!$A$3,"State","WV","Category",14,"Category2","Technical")</f>
        <v>0</v>
      </c>
      <c r="W213" s="401" t="e">
        <f>+'Pivot-HS Student % of Undergrad'!AN117*100</f>
        <v>#VALUE!</v>
      </c>
      <c r="X213" s="403">
        <f>+GETPIVOTDATA("Sum of Old-HS % of Total",'Pivot-HS Student % of Undergrad'!$A$3,"State","WV","Category2","Technical")</f>
        <v>0</v>
      </c>
      <c r="Y213" s="401" t="e">
        <f>+'Pivot-HS Student % of Undergrad'!AO117*100</f>
        <v>#VALUE!</v>
      </c>
      <c r="AA213" s="201" t="s">
        <v>435</v>
      </c>
      <c r="AB213" s="208">
        <f>+'NEW-Tables 80-86'!W121+'NEW-Tables 80-86'!W152</f>
        <v>0</v>
      </c>
      <c r="AC213" s="209">
        <f>+'NEW-Tables 80-86'!X121+'NEW-Tables 80-86'!X152</f>
        <v>0</v>
      </c>
      <c r="AD213" s="208">
        <f>+'NEW-Tables 80-86'!Y121+'NEW-Tables 80-86'!Y152</f>
        <v>0</v>
      </c>
      <c r="AE213" s="209">
        <f>+'NEW-Tables 80-86'!Z121+'NEW-Tables 80-86'!Z152</f>
        <v>0</v>
      </c>
      <c r="AL213" s="113" t="s">
        <v>435</v>
      </c>
      <c r="AM213" s="138">
        <f>+B213</f>
        <v>0</v>
      </c>
      <c r="AN213" s="109">
        <f>+D213</f>
        <v>0</v>
      </c>
      <c r="AO213" s="109">
        <f>+F213</f>
        <v>0</v>
      </c>
      <c r="AP213" s="109">
        <f>+H213</f>
        <v>0</v>
      </c>
      <c r="AQ213" s="113"/>
      <c r="AR213" s="112"/>
      <c r="AS213" s="145"/>
      <c r="AT213" s="144"/>
      <c r="AU213" s="83"/>
      <c r="AV213" s="144"/>
      <c r="AW213" s="113" t="s">
        <v>435</v>
      </c>
      <c r="AX213" s="646">
        <f>+'NEW-Tables 80-86'!W121+'NEW-Tables 80-86'!W152</f>
        <v>0</v>
      </c>
      <c r="AY213" s="109">
        <f>+'NEW-Tables 80-86'!X121+'NEW-Tables 80-86'!X152</f>
        <v>0</v>
      </c>
      <c r="AZ213" s="109">
        <f>+'NEW-Tables 80-86'!Y121+'NEW-Tables 80-86'!Y152</f>
        <v>0</v>
      </c>
      <c r="BA213" s="109">
        <f>+'NEW-Tables 80-86'!Z121+'NEW-Tables 80-86'!Z152</f>
        <v>0</v>
      </c>
      <c r="BB213" s="113"/>
      <c r="BC213" s="112"/>
    </row>
    <row r="214" spans="1:55">
      <c r="A214" s="77"/>
      <c r="J214" s="1"/>
      <c r="K214" s="1"/>
      <c r="L214" s="1"/>
      <c r="M214" s="346"/>
      <c r="AF214" s="112"/>
      <c r="AG214" s="189"/>
      <c r="AH214" s="189"/>
      <c r="AI214" s="189"/>
      <c r="AJ214" s="189"/>
      <c r="AK214" s="112"/>
      <c r="AL214" s="112"/>
      <c r="AM214" s="145"/>
      <c r="AN214" s="144"/>
      <c r="AO214" s="83"/>
      <c r="AP214" s="144"/>
      <c r="AQ214" s="112"/>
      <c r="AR214" s="189"/>
      <c r="AS214" s="189"/>
      <c r="AT214" s="189"/>
      <c r="AU214" s="189"/>
      <c r="AV214" s="112"/>
      <c r="AW214" s="112"/>
      <c r="AX214" s="145"/>
      <c r="AY214" s="145"/>
      <c r="AZ214" s="83"/>
      <c r="BA214" s="144"/>
      <c r="BB214" s="112"/>
      <c r="BC214" s="112"/>
    </row>
    <row r="215" spans="1:55" ht="54" customHeight="1">
      <c r="A215" s="793" t="s">
        <v>80</v>
      </c>
      <c r="B215" s="793"/>
      <c r="C215" s="793"/>
      <c r="D215" s="793"/>
      <c r="E215" s="793"/>
      <c r="F215" s="793"/>
      <c r="G215" s="793"/>
      <c r="H215" s="793"/>
      <c r="I215" s="793"/>
      <c r="J215" s="1"/>
      <c r="K215" s="1"/>
      <c r="L215" s="1"/>
      <c r="M215" s="346"/>
    </row>
    <row r="216" spans="1:55" ht="10.5" customHeight="1">
      <c r="A216" s="301"/>
      <c r="B216" s="301"/>
      <c r="C216" s="301"/>
      <c r="D216" s="301"/>
      <c r="E216" s="301"/>
      <c r="F216" s="301"/>
      <c r="G216" s="301"/>
      <c r="H216" s="301"/>
      <c r="I216" s="307" t="s">
        <v>876</v>
      </c>
      <c r="J216" s="1"/>
      <c r="K216" s="1"/>
      <c r="L216" s="1"/>
      <c r="M216" s="346"/>
      <c r="S216" s="307"/>
      <c r="AF216" s="112"/>
      <c r="AG216" s="189"/>
      <c r="AH216" s="189"/>
      <c r="AI216" s="189"/>
      <c r="AJ216" s="189"/>
      <c r="AK216" s="112"/>
      <c r="AL216" s="112"/>
      <c r="AM216" s="145"/>
      <c r="AN216" s="144"/>
      <c r="AO216" s="83"/>
      <c r="AP216" s="144"/>
      <c r="AW216" s="112"/>
      <c r="AX216" s="145"/>
      <c r="AY216" s="145"/>
      <c r="AZ216" s="83"/>
      <c r="BA216" s="144"/>
      <c r="BB216" s="112"/>
      <c r="BC216" s="112"/>
    </row>
    <row r="217" spans="1:55" ht="18">
      <c r="A217" s="384" t="s">
        <v>929</v>
      </c>
      <c r="B217" s="20"/>
      <c r="C217" s="20"/>
      <c r="D217" s="35"/>
      <c r="E217" s="17"/>
      <c r="F217" s="22"/>
      <c r="G217" s="22"/>
      <c r="H217" s="118"/>
    </row>
    <row r="218" spans="1:55" ht="9.75" customHeight="1">
      <c r="A218" s="21"/>
      <c r="B218" s="21"/>
      <c r="C218" s="21"/>
      <c r="D218" s="36"/>
      <c r="E218" s="17"/>
      <c r="F218" s="22"/>
      <c r="G218" s="22"/>
      <c r="H218" s="118"/>
    </row>
    <row r="219" spans="1:55" ht="15.75">
      <c r="A219" s="44" t="s">
        <v>388</v>
      </c>
      <c r="B219" s="44"/>
      <c r="C219" s="44"/>
      <c r="D219" s="63"/>
      <c r="E219" s="17"/>
      <c r="F219" s="22"/>
      <c r="G219" s="22"/>
      <c r="H219" s="118"/>
      <c r="AR219" s="145"/>
      <c r="AS219" s="145"/>
      <c r="AT219" s="83"/>
      <c r="AU219" s="144"/>
    </row>
    <row r="220" spans="1:55" ht="15.75">
      <c r="A220" s="44" t="s">
        <v>381</v>
      </c>
      <c r="B220" s="44"/>
      <c r="C220" s="44"/>
      <c r="D220" s="63"/>
      <c r="E220" s="17"/>
      <c r="F220" s="22"/>
      <c r="G220" s="22"/>
      <c r="H220" s="118"/>
    </row>
    <row r="221" spans="1:55" ht="15.75">
      <c r="A221" s="44" t="s">
        <v>875</v>
      </c>
      <c r="B221" s="44"/>
      <c r="C221" s="44"/>
      <c r="D221" s="63"/>
      <c r="E221" s="17"/>
      <c r="F221" s="22"/>
      <c r="G221" s="22"/>
      <c r="H221" s="118"/>
      <c r="I221" s="25"/>
      <c r="U221" s="1" t="s">
        <v>390</v>
      </c>
      <c r="V221" s="391" t="s">
        <v>821</v>
      </c>
    </row>
    <row r="222" spans="1:55" ht="13.5" customHeight="1">
      <c r="B222" s="2"/>
      <c r="C222" s="2"/>
      <c r="D222" s="26"/>
      <c r="I222" s="25"/>
      <c r="V222" s="146" t="s">
        <v>392</v>
      </c>
      <c r="W222" s="69"/>
      <c r="X222" s="69"/>
      <c r="Y222" s="81"/>
      <c r="Z222" s="371" t="s">
        <v>45</v>
      </c>
      <c r="AA222" s="372"/>
      <c r="AB222" s="69"/>
      <c r="AC222" s="69"/>
      <c r="AD222" s="371" t="s">
        <v>502</v>
      </c>
      <c r="AE222" s="372"/>
      <c r="AF222" s="69"/>
      <c r="AG222" s="69"/>
    </row>
    <row r="223" spans="1:55" ht="63" customHeight="1">
      <c r="A223" s="64"/>
      <c r="B223" s="65" t="s">
        <v>418</v>
      </c>
      <c r="C223" s="37"/>
      <c r="D223" s="65" t="s">
        <v>419</v>
      </c>
      <c r="E223" s="66" t="s">
        <v>380</v>
      </c>
      <c r="F223" s="66" t="s">
        <v>397</v>
      </c>
      <c r="G223" s="67" t="s">
        <v>380</v>
      </c>
      <c r="H223" s="133" t="s">
        <v>411</v>
      </c>
      <c r="I223" s="75"/>
      <c r="V223" s="70" t="s">
        <v>418</v>
      </c>
      <c r="W223" s="70" t="s">
        <v>419</v>
      </c>
      <c r="X223" s="71" t="s">
        <v>397</v>
      </c>
      <c r="Y223" s="82" t="s">
        <v>383</v>
      </c>
      <c r="Z223" s="373" t="s">
        <v>418</v>
      </c>
      <c r="AA223" s="70" t="s">
        <v>419</v>
      </c>
      <c r="AB223" s="71" t="s">
        <v>397</v>
      </c>
      <c r="AC223" s="71" t="s">
        <v>383</v>
      </c>
      <c r="AD223" s="373" t="s">
        <v>418</v>
      </c>
      <c r="AE223" s="70" t="s">
        <v>419</v>
      </c>
      <c r="AF223" s="71" t="s">
        <v>397</v>
      </c>
      <c r="AG223" s="71" t="s">
        <v>383</v>
      </c>
    </row>
    <row r="224" spans="1:55" ht="15" customHeight="1">
      <c r="A224" s="1" t="s">
        <v>420</v>
      </c>
      <c r="B224" s="68">
        <f>+GETPIVOTDATA("Grand Total FTE - New",'FTE Pivot for regular counts'!$A$2,"Category2","Four-Year")</f>
        <v>2247187.87</v>
      </c>
      <c r="D224" s="15">
        <f>+GETPIVOTDATA("Grand Total FTE - New",'FTE Pivot for regular counts'!$A$2,"Category2","Two-Year")</f>
        <v>1811232.1961111112</v>
      </c>
      <c r="F224" s="40">
        <f>+GETPIVOTDATA("Grand Total FTE - New",'FTE Pivot for regular counts'!$A$2,"Category2","Technical")</f>
        <v>152902.14816666668</v>
      </c>
      <c r="G224" s="38"/>
      <c r="H224" s="134">
        <f>+F224+D224+B224</f>
        <v>4211322.2142777778</v>
      </c>
      <c r="I224" s="25"/>
      <c r="U224" s="1" t="s">
        <v>420</v>
      </c>
      <c r="V224" s="68">
        <f>+GETPIVOTDATA("Grand Total FTE - Old",'FTE Pivot for regular counts'!$A$2,"Category2","Four-Year")</f>
        <v>2181530.8436111109</v>
      </c>
      <c r="W224" s="15">
        <f>+GETPIVOTDATA("Grand Total FTE - Old",'FTE Pivot for regular counts'!$A$2,"Category2","Two-Year")</f>
        <v>1637737.8439999998</v>
      </c>
      <c r="X224" s="40">
        <f>+GETPIVOTDATA("Grand Total FTE - Old",'FTE Pivot for regular counts'!$A$2,"Category2","Technical")</f>
        <v>133065.83213333334</v>
      </c>
      <c r="Y224" s="100">
        <f>SUM(V224:X224)</f>
        <v>3952334.5197444437</v>
      </c>
      <c r="Z224" s="376">
        <f>+B224-V224</f>
        <v>65657.026388889179</v>
      </c>
      <c r="AA224" s="377">
        <f>+D224-W224</f>
        <v>173494.3521111114</v>
      </c>
      <c r="AB224" s="378">
        <f>+F224-X224</f>
        <v>19836.316033333336</v>
      </c>
      <c r="AC224" s="378">
        <f>+H224-Y224</f>
        <v>258987.69453333411</v>
      </c>
      <c r="AD224" s="374">
        <f>(B224-V224)/V224</f>
        <v>3.0096767405867347E-2</v>
      </c>
      <c r="AE224" s="375">
        <f>(D224-W224)/W224</f>
        <v>0.10593536245542813</v>
      </c>
      <c r="AF224" s="72">
        <f t="shared" ref="AF224:AF241" si="11">IF(X224&gt;0,((F224-X224)/X224),)</f>
        <v>0.14907144618054274</v>
      </c>
      <c r="AG224" s="72">
        <f>(H224-Y224)/Y224</f>
        <v>6.5527776872004284E-2</v>
      </c>
      <c r="AH224" s="1" t="s">
        <v>420</v>
      </c>
      <c r="AI224" s="108"/>
      <c r="AJ224" s="108"/>
      <c r="AK224" s="108"/>
      <c r="AL224" s="108"/>
    </row>
    <row r="225" spans="1:38" ht="13.5" customHeight="1">
      <c r="B225" s="15"/>
      <c r="D225" s="15"/>
      <c r="F225" s="40"/>
      <c r="G225" s="38"/>
      <c r="H225" s="134"/>
      <c r="I225" s="25"/>
      <c r="V225" s="15"/>
      <c r="W225" s="15"/>
      <c r="X225" s="40"/>
      <c r="Y225" s="101"/>
      <c r="Z225" s="376"/>
      <c r="AA225" s="377"/>
      <c r="AB225" s="378"/>
      <c r="AC225" s="378"/>
      <c r="AD225" s="374"/>
      <c r="AE225" s="375"/>
      <c r="AF225" s="72">
        <f t="shared" si="11"/>
        <v>0</v>
      </c>
      <c r="AG225" s="72"/>
      <c r="AI225" s="108"/>
      <c r="AJ225" s="108"/>
      <c r="AK225" s="108"/>
      <c r="AL225" s="108"/>
    </row>
    <row r="226" spans="1:38" ht="15" customHeight="1">
      <c r="A226" s="1" t="s">
        <v>421</v>
      </c>
      <c r="B226" s="15">
        <f>+GETPIVOTDATA("Grand Total FTE - New",'FTE Pivot for regular counts'!$A$2,"State","AL","Category2","Four-Year")</f>
        <v>127743</v>
      </c>
      <c r="D226" s="15">
        <f>+GETPIVOTDATA("Grand Total FTE - New",'FTE Pivot for regular counts'!$A$2,"State","AL","Category2","Two-Year")</f>
        <v>69548.733333333323</v>
      </c>
      <c r="F226" s="40">
        <f>+GETPIVOTDATA("Grand Total FTE - New",'FTE Pivot for regular counts'!$A$2,"State","AL","Category2","Technical")</f>
        <v>3883.0333333333328</v>
      </c>
      <c r="G226" s="38"/>
      <c r="H226" s="134">
        <f t="shared" ref="H226:H241" si="12">+F226+D226+B226</f>
        <v>201174.76666666666</v>
      </c>
      <c r="I226" s="25"/>
      <c r="U226" s="1" t="s">
        <v>421</v>
      </c>
      <c r="V226" s="15">
        <f>+GETPIVOTDATA("Grand Total FTE - Old",'FTE Pivot for regular counts'!$A$2,"State","AL","Category2","Four-Year")</f>
        <v>123079.50000000001</v>
      </c>
      <c r="W226" s="15">
        <f>+GETPIVOTDATA("Grand Total FTE - Old",'FTE Pivot for regular counts'!$A$2,"State","AL","Category2","Two-Year")</f>
        <v>62666.566666666666</v>
      </c>
      <c r="X226" s="40">
        <f>+GETPIVOTDATA("Grand Total FTE - Old",'FTE Pivot for regular counts'!$A$2,"State","AL","Category2","Technical")</f>
        <v>3110.7666666666664</v>
      </c>
      <c r="Y226" s="101">
        <f t="shared" ref="Y226:Y241" si="13">SUM(V226:X226)</f>
        <v>188856.83333333334</v>
      </c>
      <c r="Z226" s="376">
        <f t="shared" ref="Z226:Z241" si="14">+B226-V226</f>
        <v>4663.4999999999854</v>
      </c>
      <c r="AA226" s="377">
        <f t="shared" ref="AA226:AA241" si="15">+D226-W226</f>
        <v>6882.166666666657</v>
      </c>
      <c r="AB226" s="378">
        <f t="shared" ref="AB226:AB241" si="16">+F226-X226</f>
        <v>772.26666666666642</v>
      </c>
      <c r="AC226" s="378"/>
      <c r="AD226" s="374">
        <f t="shared" ref="AD226:AD241" si="17">(B226-V226)/V226</f>
        <v>3.7890144175106208E-2</v>
      </c>
      <c r="AE226" s="375">
        <f t="shared" ref="AE226:AE241" si="18">(D226-W226)/W226</f>
        <v>0.10982198375848456</v>
      </c>
      <c r="AF226" s="72">
        <f t="shared" si="11"/>
        <v>0.24825605692058758</v>
      </c>
      <c r="AG226" s="72">
        <f t="shared" ref="AG226:AG241" si="19">(H226-Y226)/Y226</f>
        <v>6.5223657073568003E-2</v>
      </c>
      <c r="AH226" s="1" t="s">
        <v>421</v>
      </c>
      <c r="AI226" s="108"/>
      <c r="AJ226" s="108"/>
      <c r="AK226" s="108"/>
      <c r="AL226" s="108"/>
    </row>
    <row r="227" spans="1:38" ht="15" customHeight="1">
      <c r="A227" s="4" t="s">
        <v>422</v>
      </c>
      <c r="B227" s="15">
        <f>+GETPIVOTDATA("Grand Total FTE - New",'FTE Pivot for regular counts'!$A$2,"State","AR","Category2","Four-Year")</f>
        <v>73298.05</v>
      </c>
      <c r="D227" s="15">
        <f>+GETPIVOTDATA("Grand Total FTE - New",'FTE Pivot for regular counts'!$A$2,"State","AR","Category2","Two-Year")</f>
        <v>40712.699999999997</v>
      </c>
      <c r="F227" s="40">
        <f>+GETPIVOTDATA("Grand Total FTE - New",'FTE Pivot for regular counts'!$A$2,"State","AR","Category2","Technical")</f>
        <v>0</v>
      </c>
      <c r="G227" s="38"/>
      <c r="H227" s="134">
        <f t="shared" si="12"/>
        <v>114010.75</v>
      </c>
      <c r="I227" s="25"/>
      <c r="U227" s="4" t="s">
        <v>422</v>
      </c>
      <c r="V227" s="15">
        <f>+GETPIVOTDATA("Grand Total FTE - Old",'FTE Pivot for regular counts'!$A$2,"State","AR","Category2","Four-Year")</f>
        <v>71726.983333333323</v>
      </c>
      <c r="W227" s="15">
        <f>+GETPIVOTDATA("Grand Total FTE - Old",'FTE Pivot for regular counts'!$A$2,"State","AR","Category2","Two-Year")</f>
        <v>36740.933333333334</v>
      </c>
      <c r="X227" s="40">
        <f>+GETPIVOTDATA("Grand Total FTE - Old",'FTE Pivot for regular counts'!$A$2,"State","AR","Category2","Technical")</f>
        <v>0</v>
      </c>
      <c r="Y227" s="101">
        <f t="shared" si="13"/>
        <v>108467.91666666666</v>
      </c>
      <c r="Z227" s="376">
        <f t="shared" si="14"/>
        <v>1571.0666666666802</v>
      </c>
      <c r="AA227" s="377">
        <f t="shared" si="15"/>
        <v>3971.7666666666628</v>
      </c>
      <c r="AB227" s="378">
        <f t="shared" si="16"/>
        <v>0</v>
      </c>
      <c r="AC227" s="378"/>
      <c r="AD227" s="374">
        <f t="shared" si="17"/>
        <v>2.1903425930594887E-2</v>
      </c>
      <c r="AE227" s="375">
        <f t="shared" si="18"/>
        <v>0.1081019534978243</v>
      </c>
      <c r="AF227" s="72">
        <f t="shared" si="11"/>
        <v>0</v>
      </c>
      <c r="AG227" s="72">
        <f t="shared" si="19"/>
        <v>5.1101132055177703E-2</v>
      </c>
      <c r="AH227" s="4" t="s">
        <v>422</v>
      </c>
      <c r="AI227" s="108"/>
      <c r="AJ227" s="108"/>
      <c r="AK227" s="108"/>
      <c r="AL227" s="108"/>
    </row>
    <row r="228" spans="1:38" ht="15" customHeight="1">
      <c r="A228" s="1" t="s">
        <v>459</v>
      </c>
      <c r="B228" s="115">
        <f>+GETPIVOTDATA("Grand Total FTE - New",'FTE Pivot for regular counts'!$A$2,"State","DE","Category2","Four-Year")</f>
        <v>22686.474999999999</v>
      </c>
      <c r="D228" s="15">
        <f>+GETPIVOTDATA("Grand Total FTE - New",'FTE Pivot for regular counts'!$A$2,"State","DE","Category2","Two-Year")</f>
        <v>10906.933333333334</v>
      </c>
      <c r="F228" s="40">
        <f>+GETPIVOTDATA("Grand Total FTE - New",'FTE Pivot for regular counts'!$A$2,"State","DE","Category2","Technical")</f>
        <v>0</v>
      </c>
      <c r="G228" s="38"/>
      <c r="H228" s="134">
        <f t="shared" si="12"/>
        <v>33593.408333333333</v>
      </c>
      <c r="I228" s="25"/>
      <c r="U228" s="1" t="s">
        <v>459</v>
      </c>
      <c r="V228" s="115">
        <f>+GETPIVOTDATA("Grand Total FTE - Old",'FTE Pivot for regular counts'!$A$2,"State","DE","Category2","Four-Year")</f>
        <v>22401.924999999999</v>
      </c>
      <c r="W228" s="15">
        <f>+GETPIVOTDATA("Grand Total FTE - Old",'FTE Pivot for regular counts'!$A$2,"State","DE","Category2","Two-Year")</f>
        <v>9642.5666666666657</v>
      </c>
      <c r="X228" s="40">
        <f>+GETPIVOTDATA("Grand Total FTE - Old",'FTE Pivot for regular counts'!$A$2,"State","DE","Category2","Technical")</f>
        <v>0</v>
      </c>
      <c r="Y228" s="101">
        <f t="shared" si="13"/>
        <v>32044.491666666665</v>
      </c>
      <c r="Z228" s="376">
        <f t="shared" si="14"/>
        <v>284.54999999999927</v>
      </c>
      <c r="AA228" s="377">
        <f t="shared" si="15"/>
        <v>1264.3666666666686</v>
      </c>
      <c r="AB228" s="378">
        <f t="shared" si="16"/>
        <v>0</v>
      </c>
      <c r="AC228" s="379"/>
      <c r="AD228" s="374">
        <f t="shared" si="17"/>
        <v>1.2702033419003023E-2</v>
      </c>
      <c r="AE228" s="375">
        <f t="shared" si="18"/>
        <v>0.13112345606460266</v>
      </c>
      <c r="AF228" s="72">
        <f t="shared" si="11"/>
        <v>0</v>
      </c>
      <c r="AG228" s="72">
        <f t="shared" si="19"/>
        <v>4.8336440558296723E-2</v>
      </c>
      <c r="AH228" s="1" t="s">
        <v>459</v>
      </c>
      <c r="AI228" s="108"/>
      <c r="AJ228" s="108"/>
      <c r="AK228" s="108"/>
      <c r="AL228" s="108"/>
    </row>
    <row r="229" spans="1:38" ht="15" customHeight="1">
      <c r="A229" s="1" t="s">
        <v>423</v>
      </c>
      <c r="B229" s="15">
        <f>+GETPIVOTDATA("Grand Total FTE - New",'FTE Pivot for regular counts'!$A$2,"State","FL","Category2","Four-Year")</f>
        <v>275268.54166666669</v>
      </c>
      <c r="D229" s="15">
        <f>+GETPIVOTDATA("Grand Total FTE - New",'FTE Pivot for regular counts'!$A$2,"State","FL","Category2","Two-Year")</f>
        <v>352532.73666666669</v>
      </c>
      <c r="F229" s="40">
        <f>+GETPIVOTDATA("Grand Total FTE - New",'FTE Pivot for regular counts'!$A$2,"State","FL","Category2","Technical")</f>
        <v>0</v>
      </c>
      <c r="G229" s="38"/>
      <c r="H229" s="134">
        <f t="shared" si="12"/>
        <v>627801.27833333332</v>
      </c>
      <c r="I229" s="25"/>
      <c r="U229" s="1" t="s">
        <v>423</v>
      </c>
      <c r="V229" s="15">
        <f>+GETPIVOTDATA("Grand Total FTE - Old",'FTE Pivot for regular counts'!$A$2,"State","FL","Category2","Four-Year")</f>
        <v>269529.0083333333</v>
      </c>
      <c r="W229" s="15">
        <f>+GETPIVOTDATA("Grand Total FTE - Old",'FTE Pivot for regular counts'!$A$2,"State","FL","Category2","Two-Year")</f>
        <v>322367.25444444444</v>
      </c>
      <c r="X229" s="40">
        <f>+GETPIVOTDATA("Grand Total FTE - Old",'FTE Pivot for regular counts'!$A$2,"State","FL","Category2","Technical")</f>
        <v>0</v>
      </c>
      <c r="Y229" s="101">
        <f t="shared" si="13"/>
        <v>591896.26277777774</v>
      </c>
      <c r="Z229" s="376">
        <f t="shared" si="14"/>
        <v>5739.5333333333838</v>
      </c>
      <c r="AA229" s="377">
        <f t="shared" si="15"/>
        <v>30165.482222222257</v>
      </c>
      <c r="AB229" s="378">
        <f t="shared" si="16"/>
        <v>0</v>
      </c>
      <c r="AC229" s="378"/>
      <c r="AD229" s="374">
        <f t="shared" si="17"/>
        <v>2.1294677588970901E-2</v>
      </c>
      <c r="AE229" s="375">
        <f t="shared" si="18"/>
        <v>9.3574895732534344E-2</v>
      </c>
      <c r="AF229" s="72">
        <f t="shared" si="11"/>
        <v>0</v>
      </c>
      <c r="AG229" s="72">
        <f t="shared" si="19"/>
        <v>6.0660993848909987E-2</v>
      </c>
      <c r="AH229" s="1" t="s">
        <v>423</v>
      </c>
      <c r="AI229" s="108"/>
      <c r="AJ229" s="108"/>
      <c r="AK229" s="108"/>
      <c r="AL229" s="108"/>
    </row>
    <row r="230" spans="1:38" ht="15" customHeight="1">
      <c r="A230" s="1" t="s">
        <v>424</v>
      </c>
      <c r="B230" s="15">
        <f>+GETPIVOTDATA("Grand Total FTE - New",'FTE Pivot for regular counts'!$A$2,"State","GA","Category2","Four-Year")</f>
        <v>198206.04166666669</v>
      </c>
      <c r="D230" s="15">
        <f>+GETPIVOTDATA("Grand Total FTE - New",'FTE Pivot for regular counts'!$A$2,"State","GA","Category2","Two-Year")</f>
        <v>59262.566666666673</v>
      </c>
      <c r="F230" s="40">
        <f>+GETPIVOTDATA("Grand Total FTE - New",'FTE Pivot for regular counts'!$A$2,"State","GA","Category2","Technical")</f>
        <v>87173.848888888897</v>
      </c>
      <c r="G230" s="38"/>
      <c r="H230" s="134">
        <f t="shared" si="12"/>
        <v>344642.45722222223</v>
      </c>
      <c r="I230" s="25"/>
      <c r="U230" s="1" t="s">
        <v>424</v>
      </c>
      <c r="V230" s="15">
        <f>+GETPIVOTDATA("Grand Total FTE - Old",'FTE Pivot for regular counts'!$A$2,"State","GA","Category2","Four-Year")</f>
        <v>188927.9025</v>
      </c>
      <c r="W230" s="15">
        <f>+GETPIVOTDATA("Grand Total FTE - Old",'FTE Pivot for regular counts'!$A$2,"State","GA","Category2","Two-Year")</f>
        <v>52458.483333333337</v>
      </c>
      <c r="X230" s="40">
        <f>+GETPIVOTDATA("Grand Total FTE - Old",'FTE Pivot for regular counts'!$A$2,"State","GA","Category2","Technical")</f>
        <v>72421.935555555567</v>
      </c>
      <c r="Y230" s="101">
        <f t="shared" si="13"/>
        <v>313808.32138888887</v>
      </c>
      <c r="Z230" s="376">
        <f t="shared" si="14"/>
        <v>9278.1391666666896</v>
      </c>
      <c r="AA230" s="377">
        <f t="shared" si="15"/>
        <v>6804.0833333333358</v>
      </c>
      <c r="AB230" s="378">
        <f t="shared" si="16"/>
        <v>14751.91333333333</v>
      </c>
      <c r="AC230" s="378"/>
      <c r="AD230" s="374">
        <f t="shared" si="17"/>
        <v>4.9109417105113365E-2</v>
      </c>
      <c r="AE230" s="375">
        <f t="shared" si="18"/>
        <v>0.12970415652504888</v>
      </c>
      <c r="AF230" s="72">
        <f t="shared" si="11"/>
        <v>0.2036939943702139</v>
      </c>
      <c r="AG230" s="72">
        <f t="shared" si="19"/>
        <v>9.8257865492107119E-2</v>
      </c>
      <c r="AH230" s="1" t="s">
        <v>424</v>
      </c>
      <c r="AI230" s="108"/>
      <c r="AJ230" s="108"/>
      <c r="AK230" s="108"/>
      <c r="AL230" s="108"/>
    </row>
    <row r="231" spans="1:38" ht="15" customHeight="1">
      <c r="A231" s="1" t="s">
        <v>425</v>
      </c>
      <c r="B231" s="15">
        <f>+GETPIVOTDATA("Grand Total FTE - New",'FTE Pivot for regular counts'!$A$2,"State","KY","Category2","Four-Year")</f>
        <v>98711.024999999994</v>
      </c>
      <c r="D231" s="15">
        <f>+GETPIVOTDATA("Grand Total FTE - New",'FTE Pivot for regular counts'!$A$2,"State","KY","Category2","Two-Year")</f>
        <v>49733.433333333334</v>
      </c>
      <c r="F231" s="40">
        <f>+GETPIVOTDATA("Grand Total FTE - New",'FTE Pivot for regular counts'!$A$2,"State","KY","Category2","Technical")</f>
        <v>3683.1666666666665</v>
      </c>
      <c r="G231" s="38"/>
      <c r="H231" s="134">
        <f t="shared" si="12"/>
        <v>152127.625</v>
      </c>
      <c r="I231" s="25"/>
      <c r="U231" s="1" t="s">
        <v>425</v>
      </c>
      <c r="V231" s="15">
        <f>+GETPIVOTDATA("Grand Total FTE - Old",'FTE Pivot for regular counts'!$A$2,"State","KY","Category2","Four-Year")</f>
        <v>97522.916666666672</v>
      </c>
      <c r="W231" s="15">
        <f>+GETPIVOTDATA("Grand Total FTE - Old",'FTE Pivot for regular counts'!$A$2,"State","KY","Category2","Two-Year")</f>
        <v>44844.466666666667</v>
      </c>
      <c r="X231" s="40">
        <f>+GETPIVOTDATA("Grand Total FTE - Old",'FTE Pivot for regular counts'!$A$2,"State","KY","Category2","Technical")</f>
        <v>2928.8666666666668</v>
      </c>
      <c r="Y231" s="101">
        <f t="shared" si="13"/>
        <v>145296.25</v>
      </c>
      <c r="Z231" s="376">
        <f t="shared" si="14"/>
        <v>1188.1083333333227</v>
      </c>
      <c r="AA231" s="377">
        <f t="shared" si="15"/>
        <v>4888.9666666666672</v>
      </c>
      <c r="AB231" s="378">
        <f t="shared" si="16"/>
        <v>754.29999999999973</v>
      </c>
      <c r="AC231" s="378"/>
      <c r="AD231" s="374">
        <f t="shared" si="17"/>
        <v>1.2182863002285677E-2</v>
      </c>
      <c r="AE231" s="375">
        <f t="shared" si="18"/>
        <v>0.10902051089171909</v>
      </c>
      <c r="AF231" s="72">
        <f t="shared" si="11"/>
        <v>0.25753989028748309</v>
      </c>
      <c r="AG231" s="72">
        <f t="shared" si="19"/>
        <v>4.7016870703820643E-2</v>
      </c>
      <c r="AH231" s="1" t="s">
        <v>425</v>
      </c>
      <c r="AI231" s="108"/>
      <c r="AJ231" s="108"/>
      <c r="AK231" s="108"/>
      <c r="AL231" s="108"/>
    </row>
    <row r="232" spans="1:38" ht="15" customHeight="1">
      <c r="A232" s="1" t="s">
        <v>426</v>
      </c>
      <c r="B232" s="15">
        <f>+GETPIVOTDATA("Grand Total FTE - New",'FTE Pivot for regular counts'!$A$2,"State","LA","Category2","Four-Year")</f>
        <v>123142.46666666666</v>
      </c>
      <c r="D232" s="15">
        <f>+GETPIVOTDATA("Grand Total FTE - New",'FTE Pivot for regular counts'!$A$2,"State","LA","Category2","Two-Year")</f>
        <v>32153.353333333333</v>
      </c>
      <c r="F232" s="40">
        <f>+GETPIVOTDATA("Grand Total FTE - New",'FTE Pivot for regular counts'!$A$2,"State","LA","Category2","Technical")</f>
        <v>19607.000555555554</v>
      </c>
      <c r="G232" s="38"/>
      <c r="H232" s="134">
        <f t="shared" si="12"/>
        <v>174902.82055555555</v>
      </c>
      <c r="I232" s="25"/>
      <c r="U232" s="1" t="s">
        <v>426</v>
      </c>
      <c r="V232" s="15">
        <f>+GETPIVOTDATA("Grand Total FTE - Old",'FTE Pivot for regular counts'!$A$2,"State","LA","Category2","Four-Year")</f>
        <v>119134.09027777777</v>
      </c>
      <c r="W232" s="15">
        <f>+GETPIVOTDATA("Grand Total FTE - Old",'FTE Pivot for regular counts'!$A$2,"State","LA","Category2","Two-Year")</f>
        <v>28922.400000000001</v>
      </c>
      <c r="X232" s="40">
        <f>+GETPIVOTDATA("Grand Total FTE - Old",'FTE Pivot for regular counts'!$A$2,"State","LA","Category2","Technical")</f>
        <v>16587.485000000001</v>
      </c>
      <c r="Y232" s="101">
        <f t="shared" si="13"/>
        <v>164643.97527777776</v>
      </c>
      <c r="Z232" s="376">
        <f t="shared" si="14"/>
        <v>4008.3763888888934</v>
      </c>
      <c r="AA232" s="377">
        <f t="shared" si="15"/>
        <v>3230.9533333333311</v>
      </c>
      <c r="AB232" s="378">
        <f t="shared" si="16"/>
        <v>3019.5155555555539</v>
      </c>
      <c r="AC232" s="378"/>
      <c r="AD232" s="374">
        <f t="shared" si="17"/>
        <v>3.3645922670352407E-2</v>
      </c>
      <c r="AE232" s="375">
        <f t="shared" si="18"/>
        <v>0.11171110742308145</v>
      </c>
      <c r="AF232" s="72">
        <f t="shared" si="11"/>
        <v>0.18203576705905408</v>
      </c>
      <c r="AG232" s="72">
        <f t="shared" si="19"/>
        <v>6.2309266163366482E-2</v>
      </c>
      <c r="AH232" s="1" t="s">
        <v>426</v>
      </c>
      <c r="AI232" s="108"/>
      <c r="AJ232" s="108"/>
      <c r="AK232" s="108"/>
      <c r="AL232" s="108"/>
    </row>
    <row r="233" spans="1:38" ht="15" customHeight="1">
      <c r="A233" s="1" t="s">
        <v>427</v>
      </c>
      <c r="B233" s="15">
        <f>+GETPIVOTDATA("Grand Total FTE - New",'FTE Pivot for regular counts'!$A$2,"State","MD","Category2","Four-Year")</f>
        <v>99948.878333333327</v>
      </c>
      <c r="D233" s="15">
        <f>+GETPIVOTDATA("Grand Total FTE - New",'FTE Pivot for regular counts'!$A$2,"State","MD","Category2","Two-Year")</f>
        <v>89325.818333333329</v>
      </c>
      <c r="F233" s="40">
        <f>+GETPIVOTDATA("Grand Total FTE - New",'FTE Pivot for regular counts'!$A$2,"State","MD","Category2","Technical")</f>
        <v>0</v>
      </c>
      <c r="G233" s="38"/>
      <c r="H233" s="134">
        <f t="shared" si="12"/>
        <v>189274.69666666666</v>
      </c>
      <c r="I233" s="25"/>
      <c r="U233" s="1" t="s">
        <v>427</v>
      </c>
      <c r="V233" s="15">
        <f>+GETPIVOTDATA("Grand Total FTE - Old",'FTE Pivot for regular counts'!$A$2,"State","MD","Category2","Four-Year")</f>
        <v>96779.143333333326</v>
      </c>
      <c r="W233" s="15">
        <f>+GETPIVOTDATA("Grand Total FTE - Old",'FTE Pivot for regular counts'!$A$2,"State","MD","Category2","Two-Year")</f>
        <v>82283.233333333337</v>
      </c>
      <c r="X233" s="40">
        <f>+GETPIVOTDATA("Grand Total FTE - Old",'FTE Pivot for regular counts'!$A$2,"State","MD","Category2","Technical")</f>
        <v>0</v>
      </c>
      <c r="Y233" s="101">
        <f t="shared" si="13"/>
        <v>179062.37666666665</v>
      </c>
      <c r="Z233" s="376">
        <f t="shared" si="14"/>
        <v>3169.7350000000006</v>
      </c>
      <c r="AA233" s="377">
        <f t="shared" si="15"/>
        <v>7042.5849999999919</v>
      </c>
      <c r="AB233" s="378">
        <f t="shared" si="16"/>
        <v>0</v>
      </c>
      <c r="AC233" s="378"/>
      <c r="AD233" s="374">
        <f t="shared" si="17"/>
        <v>3.2752253128368609E-2</v>
      </c>
      <c r="AE233" s="375">
        <f t="shared" si="18"/>
        <v>8.5589551050699986E-2</v>
      </c>
      <c r="AF233" s="72">
        <f t="shared" si="11"/>
        <v>0</v>
      </c>
      <c r="AG233" s="72">
        <f t="shared" si="19"/>
        <v>5.7032192859869935E-2</v>
      </c>
      <c r="AH233" s="1" t="s">
        <v>427</v>
      </c>
      <c r="AI233" s="108"/>
      <c r="AJ233" s="108"/>
      <c r="AK233" s="108"/>
      <c r="AL233" s="108"/>
    </row>
    <row r="234" spans="1:38" ht="12" customHeight="1">
      <c r="A234" s="1" t="s">
        <v>428</v>
      </c>
      <c r="B234" s="15">
        <f>+GETPIVOTDATA("Grand Total FTE - New",'FTE Pivot for regular counts'!$A$2,"State","MS","Category2","Four-Year")</f>
        <v>61954.14166666667</v>
      </c>
      <c r="D234" s="15">
        <f>+GETPIVOTDATA("Grand Total FTE - New",'FTE Pivot for regular counts'!$A$2,"State","MS","Category2","Two-Year")</f>
        <v>65068.499999999993</v>
      </c>
      <c r="F234" s="40">
        <f>+GETPIVOTDATA("Grand Total FTE - New",'FTE Pivot for regular counts'!$A$2,"State","MS","Category2","Technical")</f>
        <v>0</v>
      </c>
      <c r="G234" s="38"/>
      <c r="H234" s="134">
        <f t="shared" si="12"/>
        <v>127022.64166666666</v>
      </c>
      <c r="I234" s="25"/>
      <c r="U234" s="1" t="s">
        <v>428</v>
      </c>
      <c r="V234" s="15">
        <f>+GETPIVOTDATA("Grand Total FTE - Old",'FTE Pivot for regular counts'!$A$2,"State","MS","Category2","Four-Year")</f>
        <v>59980.291666666664</v>
      </c>
      <c r="W234" s="15">
        <f>+GETPIVOTDATA("Grand Total FTE - Old",'FTE Pivot for regular counts'!$A$2,"State","MS","Category2","Two-Year")</f>
        <v>58591.666666666672</v>
      </c>
      <c r="X234" s="40">
        <f>+GETPIVOTDATA("Grand Total FTE - Old",'FTE Pivot for regular counts'!$A$2,"State","MS","Category2","Technical")</f>
        <v>0</v>
      </c>
      <c r="Y234" s="101">
        <f t="shared" si="13"/>
        <v>118571.95833333334</v>
      </c>
      <c r="Z234" s="376">
        <f t="shared" si="14"/>
        <v>1973.8500000000058</v>
      </c>
      <c r="AA234" s="377">
        <f t="shared" si="15"/>
        <v>6476.8333333333212</v>
      </c>
      <c r="AB234" s="378">
        <f t="shared" si="16"/>
        <v>0</v>
      </c>
      <c r="AC234" s="378"/>
      <c r="AD234" s="374">
        <f t="shared" si="17"/>
        <v>3.2908309465539819E-2</v>
      </c>
      <c r="AE234" s="375">
        <f t="shared" si="18"/>
        <v>0.11054188593372187</v>
      </c>
      <c r="AF234" s="72">
        <f t="shared" si="11"/>
        <v>0</v>
      </c>
      <c r="AG234" s="72">
        <f t="shared" si="19"/>
        <v>7.1270504865716094E-2</v>
      </c>
      <c r="AH234" s="1" t="s">
        <v>428</v>
      </c>
      <c r="AI234" s="108"/>
      <c r="AJ234" s="108"/>
      <c r="AK234" s="108"/>
      <c r="AL234" s="108"/>
    </row>
    <row r="235" spans="1:38" ht="15" customHeight="1">
      <c r="A235" s="1" t="s">
        <v>429</v>
      </c>
      <c r="B235" s="15">
        <f>+GETPIVOTDATA("Grand Total FTE - New",'FTE Pivot for regular counts'!$A$2,"State","NC","Category2","Four-Year")</f>
        <v>193719.35833333331</v>
      </c>
      <c r="D235" s="15">
        <f>+GETPIVOTDATA("Grand Total FTE - New",'FTE Pivot for regular counts'!$A$2,"State","NC","Category2","Two-Year")</f>
        <v>259867</v>
      </c>
      <c r="F235" s="40">
        <f>+GETPIVOTDATA("Grand Total FTE - New",'FTE Pivot for regular counts'!$A$2,"State","NC","Category2","Technical")</f>
        <v>0</v>
      </c>
      <c r="G235" s="38"/>
      <c r="H235" s="134">
        <f t="shared" si="12"/>
        <v>453586.35833333328</v>
      </c>
      <c r="I235" s="25"/>
      <c r="U235" s="1" t="s">
        <v>429</v>
      </c>
      <c r="V235" s="15">
        <f>+GETPIVOTDATA("Grand Total FTE - Old",'FTE Pivot for regular counts'!$A$2,"State","NC","Category2","Four-Year")</f>
        <v>187703.58333333331</v>
      </c>
      <c r="W235" s="15">
        <f>+GETPIVOTDATA("Grand Total FTE - Old",'FTE Pivot for regular counts'!$A$2,"State","NC","Category2","Two-Year")</f>
        <v>231737</v>
      </c>
      <c r="X235" s="40">
        <f>+GETPIVOTDATA("Grand Total FTE - Old",'FTE Pivot for regular counts'!$A$2,"State","NC","Category2","Technical")</f>
        <v>0</v>
      </c>
      <c r="Y235" s="101">
        <f t="shared" si="13"/>
        <v>419440.58333333331</v>
      </c>
      <c r="Z235" s="376">
        <f t="shared" si="14"/>
        <v>6015.7749999999942</v>
      </c>
      <c r="AA235" s="377">
        <f t="shared" si="15"/>
        <v>28130</v>
      </c>
      <c r="AB235" s="378">
        <f t="shared" si="16"/>
        <v>0</v>
      </c>
      <c r="AC235" s="378"/>
      <c r="AD235" s="374">
        <f t="shared" si="17"/>
        <v>3.2049334877730505E-2</v>
      </c>
      <c r="AE235" s="375">
        <f t="shared" si="18"/>
        <v>0.12138760750333352</v>
      </c>
      <c r="AF235" s="72">
        <f t="shared" si="11"/>
        <v>0</v>
      </c>
      <c r="AG235" s="72">
        <f t="shared" si="19"/>
        <v>8.1407895079298992E-2</v>
      </c>
      <c r="AH235" s="1" t="s">
        <v>429</v>
      </c>
      <c r="AI235" s="108"/>
      <c r="AJ235" s="108"/>
      <c r="AK235" s="108"/>
      <c r="AL235" s="108"/>
    </row>
    <row r="236" spans="1:38" ht="15" customHeight="1">
      <c r="A236" s="1" t="s">
        <v>430</v>
      </c>
      <c r="B236" s="15">
        <f>+GETPIVOTDATA("Grand Total FTE - New",'FTE Pivot for regular counts'!$A$2,"State","OK","Category2","Four-Year")</f>
        <v>87872.749999999985</v>
      </c>
      <c r="D236" s="15">
        <f>+GETPIVOTDATA("Grand Total FTE - New",'FTE Pivot for regular counts'!$A$2,"State","OK","Category2","Two-Year")</f>
        <v>50733.933333333334</v>
      </c>
      <c r="F236" s="40">
        <f>+GETPIVOTDATA("Grand Total FTE - New",'FTE Pivot for regular counts'!$A$2,"State","OK","Category2","Technical")</f>
        <v>25718.09983333333</v>
      </c>
      <c r="G236" s="38"/>
      <c r="H236" s="134">
        <f t="shared" si="12"/>
        <v>164324.78316666663</v>
      </c>
      <c r="I236" s="25"/>
      <c r="U236" s="1" t="s">
        <v>430</v>
      </c>
      <c r="V236" s="15">
        <f>+GETPIVOTDATA("Grand Total FTE - Old",'FTE Pivot for regular counts'!$A$2,"State","OK","Category2","Four-Year")</f>
        <v>85991.608333333337</v>
      </c>
      <c r="W236" s="15">
        <f>+GETPIVOTDATA("Grand Total FTE - Old",'FTE Pivot for regular counts'!$A$2,"State","OK","Category2","Two-Year")</f>
        <v>46228.799999999996</v>
      </c>
      <c r="X236" s="68">
        <f>+GETPIVOTDATA("Grand Total FTE - Old",'FTE Pivot for regular counts'!$A$2,"State","OK","Category2","Technical")</f>
        <v>26979.522688888886</v>
      </c>
      <c r="Y236" s="101">
        <f t="shared" si="13"/>
        <v>159199.93102222221</v>
      </c>
      <c r="Z236" s="376">
        <f t="shared" si="14"/>
        <v>1881.1416666666482</v>
      </c>
      <c r="AA236" s="377">
        <f t="shared" si="15"/>
        <v>4505.1333333333387</v>
      </c>
      <c r="AB236" s="378">
        <f t="shared" si="16"/>
        <v>-1261.4228555555565</v>
      </c>
      <c r="AC236" s="378"/>
      <c r="AD236" s="374">
        <f t="shared" si="17"/>
        <v>2.1875874903684669E-2</v>
      </c>
      <c r="AE236" s="375">
        <f t="shared" si="18"/>
        <v>9.7452958617427643E-2</v>
      </c>
      <c r="AF236" s="72">
        <f>IF(X236&gt;0,((F236-X236)/F236),)</f>
        <v>-4.9048058127553473E-2</v>
      </c>
      <c r="AG236" s="72">
        <f t="shared" si="19"/>
        <v>3.2191296262113693E-2</v>
      </c>
      <c r="AH236" s="1" t="s">
        <v>430</v>
      </c>
      <c r="AI236" s="108"/>
      <c r="AJ236" s="108"/>
      <c r="AK236" s="108"/>
      <c r="AL236" s="108"/>
    </row>
    <row r="237" spans="1:38" ht="15" customHeight="1">
      <c r="A237" s="1" t="s">
        <v>431</v>
      </c>
      <c r="B237" s="15">
        <f>+GETPIVOTDATA("Grand Total FTE - New",'FTE Pivot for regular counts'!$A$2,"State","SC","Category2","Four-Year")</f>
        <v>89362.46666666666</v>
      </c>
      <c r="D237" s="15">
        <f>+GETPIVOTDATA("Grand Total FTE - New",'FTE Pivot for regular counts'!$A$2,"State","SC","Category2","Two-Year")</f>
        <v>76216.766666666663</v>
      </c>
      <c r="F237" s="40">
        <f>+GETPIVOTDATA("Grand Total FTE - New",'FTE Pivot for regular counts'!$A$2,"State","SC","Category2","Technical")</f>
        <v>0</v>
      </c>
      <c r="G237" s="38"/>
      <c r="H237" s="134">
        <f t="shared" si="12"/>
        <v>165579.23333333334</v>
      </c>
      <c r="I237" s="25"/>
      <c r="U237" s="1" t="s">
        <v>431</v>
      </c>
      <c r="V237" s="15">
        <f>+GETPIVOTDATA("Grand Total FTE - Old",'FTE Pivot for regular counts'!$A$2,"State","SC","Category2","Four-Year")</f>
        <v>86531.22083333334</v>
      </c>
      <c r="W237" s="15">
        <f>+GETPIVOTDATA("Grand Total FTE - Old",'FTE Pivot for regular counts'!$A$2,"State","SC","Category2","Two-Year")</f>
        <v>67568.144</v>
      </c>
      <c r="X237" s="40">
        <f>+GETPIVOTDATA("Grand Total FTE - Old",'FTE Pivot for regular counts'!$A$2,"State","SC","Category2","Technical")</f>
        <v>0</v>
      </c>
      <c r="Y237" s="101">
        <f t="shared" si="13"/>
        <v>154099.36483333335</v>
      </c>
      <c r="Z237" s="376">
        <f t="shared" si="14"/>
        <v>2831.2458333333198</v>
      </c>
      <c r="AA237" s="377">
        <f t="shared" si="15"/>
        <v>8648.6226666666626</v>
      </c>
      <c r="AB237" s="378">
        <f t="shared" si="16"/>
        <v>0</v>
      </c>
      <c r="AC237" s="378"/>
      <c r="AD237" s="374">
        <f t="shared" si="17"/>
        <v>3.2719356159166477E-2</v>
      </c>
      <c r="AE237" s="375">
        <f t="shared" si="18"/>
        <v>0.12799852348566304</v>
      </c>
      <c r="AF237" s="72">
        <f t="shared" si="11"/>
        <v>0</v>
      </c>
      <c r="AG237" s="72">
        <f t="shared" si="19"/>
        <v>7.4496533534814169E-2</v>
      </c>
      <c r="AH237" s="1" t="s">
        <v>431</v>
      </c>
      <c r="AI237" s="108"/>
      <c r="AJ237" s="108"/>
      <c r="AK237" s="108"/>
      <c r="AL237" s="108"/>
    </row>
    <row r="238" spans="1:38" ht="15" customHeight="1">
      <c r="A238" s="1" t="s">
        <v>432</v>
      </c>
      <c r="B238" s="15">
        <f>+GETPIVOTDATA("Grand Total FTE - New",'FTE Pivot for regular counts'!$A$2,"State","TN","Category2","Four-Year")</f>
        <v>116827.70833333333</v>
      </c>
      <c r="D238" s="15">
        <f>+GETPIVOTDATA("Grand Total FTE - New",'FTE Pivot for regular counts'!$A$2,"State","TN","Category2","Two-Year")</f>
        <v>60620.899999999994</v>
      </c>
      <c r="F238" s="40">
        <f>+GETPIVOTDATA("Grand Total FTE - New",'FTE Pivot for regular counts'!$A$2,"State","TN","Category2","Technical")</f>
        <v>12836.998888888886</v>
      </c>
      <c r="G238" s="38"/>
      <c r="H238" s="134">
        <f t="shared" si="12"/>
        <v>190285.6072222222</v>
      </c>
      <c r="I238" s="25"/>
      <c r="U238" s="1" t="s">
        <v>432</v>
      </c>
      <c r="V238" s="15">
        <f>+GETPIVOTDATA("Grand Total FTE - Old",'FTE Pivot for regular counts'!$A$2,"State","TN","Category2","Four-Year")</f>
        <v>113530.85833333332</v>
      </c>
      <c r="W238" s="15">
        <f>+GETPIVOTDATA("Grand Total FTE - Old",'FTE Pivot for regular counts'!$A$2,"State","TN","Category2","Two-Year")</f>
        <v>53531.866666666669</v>
      </c>
      <c r="X238" s="40">
        <f>+GETPIVOTDATA("Grand Total FTE - Old",'FTE Pivot for regular counts'!$A$2,"State","TN","Category2","Technical")</f>
        <v>11037.255555555552</v>
      </c>
      <c r="Y238" s="101">
        <f t="shared" si="13"/>
        <v>178099.98055555552</v>
      </c>
      <c r="Z238" s="376">
        <f t="shared" si="14"/>
        <v>3296.8500000000058</v>
      </c>
      <c r="AA238" s="377">
        <f t="shared" si="15"/>
        <v>7089.0333333333256</v>
      </c>
      <c r="AB238" s="378">
        <f t="shared" si="16"/>
        <v>1799.7433333333338</v>
      </c>
      <c r="AC238" s="378"/>
      <c r="AD238" s="374">
        <f t="shared" si="17"/>
        <v>2.9039241386868222E-2</v>
      </c>
      <c r="AE238" s="375">
        <f t="shared" si="18"/>
        <v>0.13242641766025953</v>
      </c>
      <c r="AF238" s="72">
        <f t="shared" si="11"/>
        <v>0.16306076490431912</v>
      </c>
      <c r="AG238" s="72">
        <f t="shared" si="19"/>
        <v>6.8420145968884932E-2</v>
      </c>
      <c r="AH238" s="1" t="s">
        <v>432</v>
      </c>
      <c r="AI238" s="108"/>
      <c r="AJ238" s="108"/>
      <c r="AK238" s="108"/>
      <c r="AL238" s="108"/>
    </row>
    <row r="239" spans="1:38" ht="15" customHeight="1">
      <c r="A239" s="1" t="s">
        <v>433</v>
      </c>
      <c r="B239" s="15">
        <f>+GETPIVOTDATA("Grand Total FTE - New",'FTE Pivot for regular counts'!$A$2,"State","TX","Category2","Four-Year")</f>
        <v>431902.79166666663</v>
      </c>
      <c r="D239" s="15">
        <f>+GETPIVOTDATA("Grand Total FTE - New",'FTE Pivot for regular counts'!$A$2,"State","TX","Category2","Two-Year")</f>
        <v>459267.11777777778</v>
      </c>
      <c r="F239" s="40">
        <f>+GETPIVOTDATA("Grand Total FTE - New",'FTE Pivot for regular counts'!$A$2,"State","TX","Category2","Technical")</f>
        <v>0</v>
      </c>
      <c r="G239" s="38"/>
      <c r="H239" s="134">
        <f t="shared" si="12"/>
        <v>891169.90944444435</v>
      </c>
      <c r="I239" s="25"/>
      <c r="U239" s="1" t="s">
        <v>433</v>
      </c>
      <c r="V239" s="15">
        <f>+GETPIVOTDATA("Grand Total FTE - Old",'FTE Pivot for regular counts'!$A$2,"State","TX","Category2","Four-Year")</f>
        <v>422673.5</v>
      </c>
      <c r="W239" s="15">
        <f>+GETPIVOTDATA("Grand Total FTE - Old",'FTE Pivot for regular counts'!$A$2,"State","TX","Category2","Two-Year")</f>
        <v>418961.9788888889</v>
      </c>
      <c r="X239" s="40">
        <f>+GETPIVOTDATA("Grand Total FTE - Old",'FTE Pivot for regular counts'!$A$2,"State","TX","Category2","Technical")</f>
        <v>0</v>
      </c>
      <c r="Y239" s="101">
        <f t="shared" si="13"/>
        <v>841635.47888888884</v>
      </c>
      <c r="Z239" s="376">
        <f t="shared" si="14"/>
        <v>9229.2916666666279</v>
      </c>
      <c r="AA239" s="377">
        <f t="shared" si="15"/>
        <v>40305.138888888876</v>
      </c>
      <c r="AB239" s="378">
        <f t="shared" si="16"/>
        <v>0</v>
      </c>
      <c r="AC239" s="378"/>
      <c r="AD239" s="374">
        <f t="shared" si="17"/>
        <v>2.1835510545767899E-2</v>
      </c>
      <c r="AE239" s="375">
        <f t="shared" si="18"/>
        <v>9.6202378544660322E-2</v>
      </c>
      <c r="AF239" s="72">
        <f t="shared" si="11"/>
        <v>0</v>
      </c>
      <c r="AG239" s="72">
        <f t="shared" si="19"/>
        <v>5.8854969637152081E-2</v>
      </c>
      <c r="AH239" s="1" t="s">
        <v>433</v>
      </c>
      <c r="AI239" s="108"/>
      <c r="AJ239" s="108"/>
      <c r="AK239" s="108"/>
      <c r="AL239" s="108"/>
    </row>
    <row r="240" spans="1:38" ht="15" customHeight="1">
      <c r="A240" s="1" t="s">
        <v>434</v>
      </c>
      <c r="B240" s="15">
        <f>+GETPIVOTDATA("Grand Total FTE - New",'FTE Pivot for regular counts'!$A$2,"State","VA","Category2","Four-Year")</f>
        <v>189579.95833333331</v>
      </c>
      <c r="D240" s="15">
        <f>+GETPIVOTDATA("Grand Total FTE - New",'FTE Pivot for regular counts'!$A$2,"State","VA","Category2","Two-Year")</f>
        <v>117732.2</v>
      </c>
      <c r="F240" s="40">
        <f>+GETPIVOTDATA("Grand Total FTE - New",'FTE Pivot for regular counts'!$A$2,"State","VA","Category2","Technical")</f>
        <v>0</v>
      </c>
      <c r="G240" s="38"/>
      <c r="H240" s="134">
        <f t="shared" si="12"/>
        <v>307312.15833333333</v>
      </c>
      <c r="I240" s="25"/>
      <c r="U240" s="1" t="s">
        <v>434</v>
      </c>
      <c r="V240" s="15">
        <f>+GETPIVOTDATA("Grand Total FTE - Old",'FTE Pivot for regular counts'!$A$2,"State","VA","Category2","Four-Year")</f>
        <v>180201.40833333333</v>
      </c>
      <c r="W240" s="15">
        <f>+GETPIVOTDATA("Grand Total FTE - Old",'FTE Pivot for regular counts'!$A$2,"State","VA","Category2","Two-Year")</f>
        <v>105320.40000000001</v>
      </c>
      <c r="X240" s="40">
        <f>+GETPIVOTDATA("Grand Total FTE - Old",'FTE Pivot for regular counts'!$A$2,"State","VA","Category2","Technical")</f>
        <v>0</v>
      </c>
      <c r="Y240" s="101">
        <f t="shared" si="13"/>
        <v>285521.80833333335</v>
      </c>
      <c r="Z240" s="376">
        <f t="shared" si="14"/>
        <v>9378.5499999999884</v>
      </c>
      <c r="AA240" s="377">
        <f t="shared" si="15"/>
        <v>12411.799999999988</v>
      </c>
      <c r="AB240" s="378">
        <f t="shared" si="16"/>
        <v>0</v>
      </c>
      <c r="AC240" s="378"/>
      <c r="AD240" s="374">
        <f t="shared" si="17"/>
        <v>5.2044820774384375E-2</v>
      </c>
      <c r="AE240" s="375">
        <f t="shared" si="18"/>
        <v>0.11784801424985081</v>
      </c>
      <c r="AF240" s="72">
        <f t="shared" si="11"/>
        <v>0</v>
      </c>
      <c r="AG240" s="72">
        <f t="shared" si="19"/>
        <v>7.6317637966767021E-2</v>
      </c>
      <c r="AH240" s="1" t="s">
        <v>434</v>
      </c>
    </row>
    <row r="241" spans="1:34" ht="15" customHeight="1">
      <c r="A241" s="3" t="s">
        <v>435</v>
      </c>
      <c r="B241" s="6">
        <f>+GETPIVOTDATA("Grand Total FTE - New",'FTE Pivot for regular counts'!$A$2,"State","WV","Category2","Four-Year")</f>
        <v>56964.216666666667</v>
      </c>
      <c r="C241" s="3"/>
      <c r="D241" s="6">
        <f>+GETPIVOTDATA("Grand Total FTE - New",'FTE Pivot for regular counts'!$A$2,"State","WV","Category2","Two-Year")</f>
        <v>17549.503333333334</v>
      </c>
      <c r="E241" s="3"/>
      <c r="F241" s="41">
        <f>+GETPIVOTDATA("Grand Total FTE - New",'FTE Pivot for regular counts'!$A$2,"State","WV","Category2","Technical")</f>
        <v>0</v>
      </c>
      <c r="G241" s="39"/>
      <c r="H241" s="134">
        <f t="shared" si="12"/>
        <v>74513.72</v>
      </c>
      <c r="I241" s="25"/>
      <c r="U241" s="3" t="s">
        <v>435</v>
      </c>
      <c r="V241" s="6">
        <f>+GETPIVOTDATA("Grand Total FTE - Old",'FTE Pivot for regular counts'!$A$2,"State","WV","Category2","Four-Year")</f>
        <v>55816.903333333335</v>
      </c>
      <c r="W241" s="6">
        <f>+GETPIVOTDATA("Grand Total FTE - Old",'FTE Pivot for regular counts'!$A$2,"State","WV","Category2","Two-Year")</f>
        <v>15872.083333333334</v>
      </c>
      <c r="X241" s="41">
        <f>+GETPIVOTDATA("Grand Total FTE - Old",'FTE Pivot for regular counts'!$A$2,"State","WV","Category2","Technical")</f>
        <v>0</v>
      </c>
      <c r="Y241" s="102">
        <f t="shared" si="13"/>
        <v>71688.986666666664</v>
      </c>
      <c r="Z241" s="380">
        <f t="shared" si="14"/>
        <v>1147.3133333333317</v>
      </c>
      <c r="AA241" s="381">
        <f t="shared" si="15"/>
        <v>1677.42</v>
      </c>
      <c r="AB241" s="381">
        <f t="shared" si="16"/>
        <v>0</v>
      </c>
      <c r="AC241" s="381"/>
      <c r="AD241" s="98">
        <f t="shared" si="17"/>
        <v>2.0554944198206117E-2</v>
      </c>
      <c r="AE241" s="99">
        <f t="shared" si="18"/>
        <v>0.10568366891554878</v>
      </c>
      <c r="AF241" s="99">
        <f t="shared" si="11"/>
        <v>0</v>
      </c>
      <c r="AG241" s="99">
        <f t="shared" si="19"/>
        <v>3.9402612098111266E-2</v>
      </c>
      <c r="AH241" s="3" t="s">
        <v>435</v>
      </c>
    </row>
    <row r="242" spans="1:34" s="25" customFormat="1" ht="20.25" customHeight="1">
      <c r="A242" s="77"/>
      <c r="B242" s="16"/>
      <c r="C242" s="16"/>
      <c r="D242" s="16"/>
      <c r="E242" s="16"/>
      <c r="F242" s="16"/>
      <c r="G242" s="16"/>
      <c r="H242" s="121"/>
      <c r="I242" s="15"/>
      <c r="J242" s="115"/>
      <c r="K242" s="115"/>
      <c r="L242" s="115"/>
      <c r="M242" s="115"/>
      <c r="Z242" s="1"/>
      <c r="AA242" s="1"/>
    </row>
    <row r="243" spans="1:34" ht="71.25" customHeight="1">
      <c r="A243" s="793" t="s">
        <v>80</v>
      </c>
      <c r="B243" s="794"/>
      <c r="C243" s="794"/>
      <c r="D243" s="794"/>
      <c r="E243" s="794"/>
      <c r="F243" s="794"/>
      <c r="G243" s="794"/>
      <c r="H243" s="794"/>
      <c r="I243" s="25"/>
      <c r="Q243" s="114"/>
      <c r="S243" s="107"/>
    </row>
    <row r="244" spans="1:34">
      <c r="H244" s="307"/>
      <c r="Q244" s="43"/>
    </row>
    <row r="259" spans="14:20">
      <c r="N259" s="25"/>
      <c r="O259" s="25"/>
      <c r="P259" s="25"/>
      <c r="Q259" s="25"/>
      <c r="R259" s="25"/>
      <c r="S259" s="25"/>
      <c r="T259" s="25"/>
    </row>
    <row r="260" spans="14:20">
      <c r="N260" s="25"/>
      <c r="O260" s="25"/>
      <c r="P260" s="25"/>
      <c r="Q260" s="25"/>
      <c r="R260" s="25"/>
      <c r="S260" s="25"/>
      <c r="T260" s="25"/>
    </row>
    <row r="261" spans="14:20">
      <c r="N261" s="25"/>
      <c r="O261" s="25"/>
      <c r="P261" s="25"/>
      <c r="Q261" s="25"/>
      <c r="R261" s="25"/>
      <c r="S261" s="25"/>
      <c r="T261" s="25"/>
    </row>
    <row r="262" spans="14:20">
      <c r="N262" s="25"/>
      <c r="O262" s="25"/>
      <c r="P262" s="25"/>
      <c r="Q262" s="25"/>
      <c r="R262" s="25"/>
      <c r="S262" s="25"/>
      <c r="T262" s="25"/>
    </row>
    <row r="263" spans="14:20">
      <c r="N263" s="25"/>
      <c r="O263" s="25"/>
      <c r="P263" s="25"/>
      <c r="Q263" s="25"/>
      <c r="R263" s="25"/>
      <c r="S263" s="25"/>
      <c r="T263" s="25"/>
    </row>
    <row r="264" spans="14:20">
      <c r="N264" s="25"/>
      <c r="O264" s="25"/>
      <c r="P264" s="25"/>
      <c r="Q264" s="25"/>
      <c r="R264" s="25"/>
      <c r="S264" s="25"/>
      <c r="T264" s="25"/>
    </row>
    <row r="265" spans="14:20">
      <c r="N265" s="25"/>
      <c r="O265" s="25"/>
      <c r="P265" s="25"/>
      <c r="Q265" s="25"/>
      <c r="R265" s="25"/>
      <c r="S265" s="25"/>
      <c r="T265" s="25"/>
    </row>
    <row r="266" spans="14:20">
      <c r="N266" s="25"/>
      <c r="O266" s="25"/>
      <c r="P266" s="25"/>
      <c r="Q266" s="25"/>
      <c r="R266" s="25"/>
      <c r="S266" s="25"/>
      <c r="T266" s="25"/>
    </row>
    <row r="267" spans="14:20">
      <c r="N267" s="25"/>
      <c r="O267" s="25"/>
      <c r="P267" s="25"/>
      <c r="Q267" s="25"/>
      <c r="R267" s="25"/>
      <c r="S267" s="25"/>
      <c r="T267" s="25"/>
    </row>
  </sheetData>
  <mergeCells count="15">
    <mergeCell ref="A243:H243"/>
    <mergeCell ref="A123:J123"/>
    <mergeCell ref="A154:J154"/>
    <mergeCell ref="A125:J125"/>
    <mergeCell ref="A127:J127"/>
    <mergeCell ref="A128:J128"/>
    <mergeCell ref="A215:I215"/>
    <mergeCell ref="B6:G6"/>
    <mergeCell ref="A61:H61"/>
    <mergeCell ref="A92:H92"/>
    <mergeCell ref="A30:O30"/>
    <mergeCell ref="A184:K184"/>
    <mergeCell ref="A94:J94"/>
    <mergeCell ref="A96:J96"/>
    <mergeCell ref="A97:J97"/>
  </mergeCells>
  <phoneticPr fontId="0" type="noConversion"/>
  <pageMargins left="0.5" right="0.25" top="1" bottom="0.85" header="0.75" footer="0.5"/>
  <pageSetup firstPageNumber="86" fitToHeight="7" orientation="landscape" useFirstPageNumber="1" r:id="rId1"/>
  <headerFooter alignWithMargins="0">
    <oddHeader>&amp;RSREB-State Data Exchange</oddHeader>
    <oddFooter>&amp;C&amp;10&amp;P</oddFooter>
  </headerFooter>
  <rowBreaks count="6" manualBreakCount="6">
    <brk id="31" max="14" man="1"/>
    <brk id="62" max="14" man="1"/>
    <brk id="93" max="14" man="1"/>
    <brk id="124" max="14" man="1"/>
    <brk id="155" max="14" man="1"/>
    <brk id="185" max="14" man="1"/>
  </rowBreaks>
  <legacyDrawing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S267"/>
  <sheetViews>
    <sheetView showGridLines="0" showZeros="0" tabSelected="1" view="pageBreakPreview" zoomScale="70" zoomScaleNormal="100" zoomScaleSheetLayoutView="70" workbookViewId="0">
      <selection activeCell="H70" sqref="H70"/>
    </sheetView>
  </sheetViews>
  <sheetFormatPr defaultRowHeight="12.75"/>
  <cols>
    <col min="1" max="1" width="15" style="1" customWidth="1"/>
    <col min="2" max="2" width="11.6640625" style="1" customWidth="1"/>
    <col min="3" max="3" width="10" style="1" customWidth="1"/>
    <col min="4" max="4" width="11.6640625" style="1" customWidth="1"/>
    <col min="5" max="5" width="10" style="1" customWidth="1"/>
    <col min="6" max="6" width="11.6640625" style="1" customWidth="1"/>
    <col min="7" max="7" width="10" style="1" customWidth="1"/>
    <col min="8" max="8" width="11.6640625" style="4" customWidth="1"/>
    <col min="9" max="9" width="10" style="1" customWidth="1"/>
    <col min="10" max="10" width="11.6640625" style="4" customWidth="1"/>
    <col min="11" max="11" width="10" style="4" customWidth="1"/>
    <col min="12" max="12" width="10.5" style="4" customWidth="1"/>
    <col min="13" max="13" width="10" style="74" customWidth="1"/>
    <col min="14" max="14" width="11.6640625" style="1" customWidth="1"/>
    <col min="15" max="15" width="10" style="1" customWidth="1"/>
    <col min="16" max="16384" width="9.33203125" style="1"/>
  </cols>
  <sheetData>
    <row r="1" spans="1:17" ht="18">
      <c r="A1" s="42" t="s">
        <v>972</v>
      </c>
      <c r="B1" s="20"/>
      <c r="C1" s="20"/>
      <c r="D1" s="20"/>
      <c r="E1" s="20"/>
      <c r="F1" s="20"/>
      <c r="G1" s="20"/>
      <c r="H1" s="116"/>
      <c r="I1" s="20"/>
      <c r="J1" s="116"/>
      <c r="K1" s="116"/>
      <c r="L1" s="116"/>
      <c r="M1" s="387"/>
      <c r="N1" s="17"/>
      <c r="O1" s="22"/>
    </row>
    <row r="2" spans="1:17" ht="15.75">
      <c r="A2" s="21"/>
      <c r="B2" s="21"/>
      <c r="C2" s="21"/>
      <c r="D2" s="21"/>
      <c r="E2" s="21"/>
      <c r="F2" s="21"/>
      <c r="G2" s="21"/>
      <c r="H2" s="117"/>
      <c r="I2" s="21"/>
      <c r="J2" s="117"/>
      <c r="K2" s="117"/>
      <c r="L2" s="117"/>
      <c r="M2" s="343"/>
      <c r="N2" s="388"/>
      <c r="O2" s="22"/>
    </row>
    <row r="3" spans="1:17" ht="15.75">
      <c r="A3" s="122" t="s">
        <v>384</v>
      </c>
      <c r="B3" s="22"/>
      <c r="C3" s="22"/>
      <c r="D3" s="22"/>
      <c r="E3" s="22"/>
      <c r="F3" s="22"/>
      <c r="G3" s="22"/>
      <c r="H3" s="118"/>
      <c r="I3" s="22"/>
      <c r="J3" s="118"/>
      <c r="K3" s="118"/>
      <c r="L3" s="118"/>
      <c r="M3" s="308"/>
      <c r="N3" s="22"/>
      <c r="O3" s="388"/>
    </row>
    <row r="4" spans="1:17" ht="15.75">
      <c r="A4" s="44" t="s">
        <v>963</v>
      </c>
      <c r="B4" s="22"/>
      <c r="C4" s="22"/>
      <c r="D4" s="22"/>
      <c r="E4" s="22"/>
      <c r="F4" s="22"/>
      <c r="G4" s="22"/>
      <c r="H4" s="118"/>
      <c r="I4" s="22"/>
      <c r="J4" s="118"/>
      <c r="K4" s="118"/>
      <c r="L4" s="118"/>
      <c r="M4" s="308"/>
      <c r="N4" s="389"/>
      <c r="O4" s="22"/>
    </row>
    <row r="5" spans="1:17" ht="15.75" customHeight="1">
      <c r="B5" s="2"/>
      <c r="C5" s="2"/>
      <c r="D5" s="2"/>
      <c r="E5" s="2"/>
      <c r="F5" s="2"/>
      <c r="G5" s="2"/>
      <c r="H5" s="119"/>
      <c r="I5" s="2"/>
      <c r="J5" s="119"/>
      <c r="K5" s="119"/>
      <c r="L5" s="119"/>
      <c r="M5" s="336"/>
    </row>
    <row r="6" spans="1:17" ht="15" customHeight="1">
      <c r="A6" s="45"/>
      <c r="B6" s="783" t="s">
        <v>418</v>
      </c>
      <c r="C6" s="784"/>
      <c r="D6" s="784"/>
      <c r="E6" s="784"/>
      <c r="F6" s="784"/>
      <c r="G6" s="784"/>
      <c r="H6" s="120"/>
      <c r="I6" s="303"/>
      <c r="J6" s="303"/>
      <c r="K6" s="303"/>
      <c r="L6" s="303"/>
      <c r="M6" s="303"/>
      <c r="N6" s="303"/>
      <c r="O6" s="303"/>
    </row>
    <row r="7" spans="1:17" ht="17.25" customHeight="1">
      <c r="A7" s="46"/>
      <c r="B7" s="334">
        <v>1</v>
      </c>
      <c r="C7" s="22"/>
      <c r="D7" s="335">
        <v>2</v>
      </c>
      <c r="E7" s="22"/>
      <c r="F7" s="335">
        <v>3</v>
      </c>
      <c r="G7" s="22"/>
      <c r="H7" s="335">
        <v>4</v>
      </c>
      <c r="I7" s="66"/>
      <c r="J7" s="335">
        <v>5</v>
      </c>
      <c r="K7" s="66"/>
      <c r="L7" s="335">
        <v>6</v>
      </c>
      <c r="M7" s="337"/>
      <c r="N7" s="335" t="s">
        <v>382</v>
      </c>
      <c r="O7" s="66"/>
    </row>
    <row r="8" spans="1:17" ht="77.25" customHeight="1">
      <c r="A8" s="333"/>
      <c r="B8" s="339" t="s">
        <v>605</v>
      </c>
      <c r="C8" s="304" t="s">
        <v>72</v>
      </c>
      <c r="D8" s="340" t="s">
        <v>605</v>
      </c>
      <c r="E8" s="304" t="s">
        <v>72</v>
      </c>
      <c r="F8" s="340" t="s">
        <v>605</v>
      </c>
      <c r="G8" s="304" t="s">
        <v>72</v>
      </c>
      <c r="H8" s="340" t="s">
        <v>605</v>
      </c>
      <c r="I8" s="304" t="s">
        <v>72</v>
      </c>
      <c r="J8" s="340" t="s">
        <v>605</v>
      </c>
      <c r="K8" s="304" t="s">
        <v>72</v>
      </c>
      <c r="L8" s="340" t="s">
        <v>605</v>
      </c>
      <c r="M8" s="133" t="s">
        <v>72</v>
      </c>
      <c r="N8" s="340" t="s">
        <v>605</v>
      </c>
      <c r="O8" s="304" t="s">
        <v>72</v>
      </c>
      <c r="Q8" s="391"/>
    </row>
    <row r="9" spans="1:17" ht="15" customHeight="1">
      <c r="A9" s="1" t="s">
        <v>420</v>
      </c>
      <c r="B9" s="356">
        <f>+GETPIVOTDATA("Undergrad Student Credit Hour  FTE - Old",'FTE Pivot for regular counts'!$A$2,"Category",1,"Category2","Group1")</f>
        <v>788385.8600000001</v>
      </c>
      <c r="C9" s="647"/>
      <c r="D9" s="357">
        <f>+GETPIVOTDATA("Undergrad Student Credit Hour  FTE - Old",'FTE Pivot for regular counts'!$A$2,"Category",2,"Category2","Four-Year")</f>
        <v>183409.29444444444</v>
      </c>
      <c r="E9" s="647"/>
      <c r="F9" s="331">
        <f>+GETPIVOTDATA("Undergrad Student Credit Hour  FTE - Old",'FTE Pivot for regular counts'!$A$2,"Category",3,"Category2","Four-Year")</f>
        <v>501359.15000000008</v>
      </c>
      <c r="G9" s="647"/>
      <c r="H9" s="331">
        <f>+GETPIVOTDATA("Undergrad Student Credit Hour  FTE - Old",'FTE Pivot for regular counts'!$A$2,"Category",4,"Category2","Four-Year")</f>
        <v>182864.93</v>
      </c>
      <c r="I9" s="647"/>
      <c r="J9" s="331">
        <f>+GETPIVOTDATA("Undergrad Student Credit Hour  FTE - Old",'FTE Pivot for regular counts'!$A$2,"Category",5,"Category2","Four-Year")</f>
        <v>104037.46666666667</v>
      </c>
      <c r="K9" s="647"/>
      <c r="L9" s="331">
        <f>+GETPIVOTDATA("Undergrad Student Credit Hour  FTE - Old",'FTE Pivot for regular counts'!$A$2,"Category",6,"Category2","Four-Year")</f>
        <v>63634.105000000003</v>
      </c>
      <c r="M9" s="647"/>
      <c r="N9" s="331">
        <f>+GETPIVOTDATA("Undergrad Student Credit Hour  FTE - Old",'FTE Pivot for regular counts'!$A$2,"Category2","Four-Year")</f>
        <v>1823690.8061111111</v>
      </c>
      <c r="O9" s="647"/>
    </row>
    <row r="10" spans="1:17" ht="12.75" customHeight="1">
      <c r="B10" s="5"/>
      <c r="C10" s="648" t="s">
        <v>932</v>
      </c>
      <c r="D10" s="331"/>
      <c r="E10" s="648" t="s">
        <v>933</v>
      </c>
      <c r="F10" s="331"/>
      <c r="G10" s="648" t="s">
        <v>934</v>
      </c>
      <c r="H10" s="331"/>
      <c r="I10" s="648" t="s">
        <v>935</v>
      </c>
      <c r="J10" s="331"/>
      <c r="K10" s="648" t="s">
        <v>936</v>
      </c>
      <c r="L10" s="331"/>
      <c r="M10" s="648" t="s">
        <v>937</v>
      </c>
      <c r="N10" s="331"/>
      <c r="O10" s="648" t="s">
        <v>938</v>
      </c>
    </row>
    <row r="11" spans="1:17" ht="15" customHeight="1">
      <c r="A11" s="1" t="s">
        <v>421</v>
      </c>
      <c r="B11" s="5">
        <f>+GETPIVOTDATA("Undergrad Student Credit Hour  FTE - Old",'FTE Pivot for regular counts'!$A$2,"State","AL","Category",1,"Category2","Four-Year")</f>
        <v>48838.3</v>
      </c>
      <c r="C11" s="305">
        <f>+GETPIVOTDATA("Sum of Old-HS % of Total",'Pivot-HS Student % of Undergrad'!$A$3,"State","AL","Category",1,"Category2","Four-Year")</f>
        <v>0</v>
      </c>
      <c r="D11" s="331">
        <f>+GETPIVOTDATA("Undergrad Student Credit Hour  FTE - Old",'FTE Pivot for regular counts'!$A$2,"State","AL","Category",2,"Category2","Four-Year")</f>
        <v>4992.8</v>
      </c>
      <c r="E11" s="305">
        <f>+GETPIVOTDATA("Sum of Old-HS % of Total",'Pivot-HS Student % of Undergrad'!$A$3,"State","AL","Category",2,"Category2","Four-Year")</f>
        <v>0</v>
      </c>
      <c r="F11" s="331">
        <f>+GETPIVOTDATA("Undergrad Student Credit Hour  FTE - Old",'FTE Pivot for regular counts'!$A$2,"State","AL","Category",3,"Category2","Four-Year")</f>
        <v>30084.333333333336</v>
      </c>
      <c r="G11" s="305">
        <f>+GETPIVOTDATA("Sum of Old-HS % of Total",'Pivot-HS Student % of Undergrad'!$A$3,"State","AL","Category",3,"Category2","Four-Year")</f>
        <v>0</v>
      </c>
      <c r="H11" s="331">
        <f>+GETPIVOTDATA("Undergrad Student Credit Hour  FTE - Old",'FTE Pivot for regular counts'!$A$2,"State","AL","Category",4,"Category2","Four-Year")</f>
        <v>13580.433333333334</v>
      </c>
      <c r="I11" s="305">
        <f>+GETPIVOTDATA("Sum of Old-HS % of Total",'Pivot-HS Student % of Undergrad'!$A$3,"State","AL","Category",4,"Category2","Four-Year")</f>
        <v>0</v>
      </c>
      <c r="J11" s="331">
        <f>+GETPIVOTDATA("Undergrad Student Credit Hour  FTE - Old",'FTE Pivot for regular counts'!$A$2,"State","AL","Category",5,"Category2","Four-Year")</f>
        <v>4048.2666666666669</v>
      </c>
      <c r="K11" s="305">
        <f>+GETPIVOTDATA("Sum of Old-HS % of Total",'Pivot-HS Student % of Undergrad'!$A$3,"State","AL","Category",5,"Category2","Four-Year")</f>
        <v>0</v>
      </c>
      <c r="L11" s="331">
        <f>+GETPIVOTDATA("Undergrad Student Credit Hour  FTE - Old",'FTE Pivot for regular counts'!$A$2,"State","AL","Category",6,"Category2","Four-Year")</f>
        <v>2656.3666666666668</v>
      </c>
      <c r="M11" s="305">
        <f>+GETPIVOTDATA("Sum of Old-HS % of Total",'Pivot-HS Student % of Undergrad'!$A$3,"State","AL","Category",6,"Category2","Four-Year")</f>
        <v>0</v>
      </c>
      <c r="N11" s="331">
        <f>+GETPIVOTDATA("Undergrad Student Credit Hour  FTE - Old",'FTE Pivot for regular counts'!$A$2,"State","AL","Category2","Four-Year")</f>
        <v>104200.50000000001</v>
      </c>
      <c r="O11" s="305">
        <f>+GETPIVOTDATA("Sum of Old-HS % of Total",'Pivot-HS Student % of Undergrad'!$A$3,"State","AL","Category2","Group1")</f>
        <v>0</v>
      </c>
    </row>
    <row r="12" spans="1:17" ht="15" customHeight="1">
      <c r="A12" s="4" t="s">
        <v>422</v>
      </c>
      <c r="B12" s="5">
        <f>+GETPIVOTDATA("Undergrad Student Credit Hour  FTE - Old",'FTE Pivot for regular counts'!$A$2,"State","AR","Category",1,"Category2","Four-Year")</f>
        <v>14281.666666666666</v>
      </c>
      <c r="C12" s="360">
        <f>+GETPIVOTDATA("Sum of Old-HS % of Total",'Pivot-HS Student % of Undergrad'!$A$3,"State","AR","Category",1,"Category2","Four-Year")</f>
        <v>2.3573345781304704E-4</v>
      </c>
      <c r="D12" s="331">
        <f>+GETPIVOTDATA("Undergrad Student Credit Hour  FTE - Old",'FTE Pivot for regular counts'!$A$2,"State","AR","Category",2,"Category2","Four-Year")</f>
        <v>0</v>
      </c>
      <c r="E12" s="305">
        <f>+GETPIVOTDATA("Sum of Old-HS % of Total",'Pivot-HS Student % of Undergrad'!$A$3,"State","AR","Category",2,"Category2","Four-Year")</f>
        <v>0</v>
      </c>
      <c r="F12" s="331">
        <f>+GETPIVOTDATA("Undergrad Student Credit Hour  FTE - Old",'FTE Pivot for regular counts'!$A$2,"State","AR","Category",3,"Category2","Four-Year")</f>
        <v>25614.033333333333</v>
      </c>
      <c r="G12" s="305">
        <f>+GETPIVOTDATA("Sum of Old-HS % of Total",'Pivot-HS Student % of Undergrad'!$A$3,"State","AR","Category",3,"Category2","Four-Year")</f>
        <v>2.5497741472448047E-2</v>
      </c>
      <c r="H12" s="331">
        <f>+GETPIVOTDATA("Undergrad Student Credit Hour  FTE - Old",'FTE Pivot for regular counts'!$A$2,"State","AR","Category",4,"Category2","Four-Year")</f>
        <v>9335.5333333333328</v>
      </c>
      <c r="I12" s="305">
        <f>+GETPIVOTDATA("Sum of Old-HS % of Total",'Pivot-HS Student % of Undergrad'!$A$3,"State","AR","Category",4,"Category2","Four-Year")</f>
        <v>9.5084730027921987E-3</v>
      </c>
      <c r="J12" s="331">
        <f>+GETPIVOTDATA("Undergrad Student Credit Hour  FTE - Old",'FTE Pivot for regular counts'!$A$2,"State","AR","Category",5,"Category2","Four-Year")</f>
        <v>5153.6000000000004</v>
      </c>
      <c r="K12" s="305">
        <f>+GETPIVOTDATA("Sum of Old-HS % of Total",'Pivot-HS Student % of Undergrad'!$A$3,"State","AR","Category",5,"Category2","Four-Year")</f>
        <v>2.7029649177274139E-2</v>
      </c>
      <c r="L12" s="331">
        <f>+GETPIVOTDATA("Undergrad Student Credit Hour  FTE - Old",'FTE Pivot for regular counts'!$A$2,"State","AR","Category",6,"Category2","Four-Year")</f>
        <v>8373.9</v>
      </c>
      <c r="M12" s="305">
        <f>+GETPIVOTDATA("Sum of Old-HS % of Total",'Pivot-HS Student % of Undergrad'!$A$3,"State","AR","Category",6,"Category2","Four-Year")</f>
        <v>2.9185922927190439E-2</v>
      </c>
      <c r="N12" s="331">
        <f>+GETPIVOTDATA("Undergrad Student Credit Hour  FTE - Old",'FTE Pivot for regular counts'!$A$2,"State","AR","Category2","Four-Year")</f>
        <v>62758.73333333333</v>
      </c>
      <c r="O12" s="305">
        <f>+GETPIVOTDATA("Sum of Old-HS % of Total",'Pivot-HS Student % of Undergrad'!$A$3,"State","AR","Category2","Group1")</f>
        <v>1.7988465881508126E-2</v>
      </c>
    </row>
    <row r="13" spans="1:17" ht="15" customHeight="1">
      <c r="A13" s="1" t="s">
        <v>459</v>
      </c>
      <c r="B13" s="5">
        <f>+GETPIVOTDATA("Undergrad Student Credit Hour  FTE - Old",'FTE Pivot for regular counts'!$A$2,"State","DE","Category",1,"Category2","Four-Year")</f>
        <v>16836.933333333334</v>
      </c>
      <c r="C13" s="305">
        <f>+GETPIVOTDATA("Sum of Old-HS % of Total",'Pivot-HS Student % of Undergrad'!$A$3,"State","DE","Category",1,"Category2","Four-Year")</f>
        <v>5.4047847193075538E-4</v>
      </c>
      <c r="D13" s="331">
        <f>+GETPIVOTDATA("Undergrad Student Credit Hour  FTE - Old",'FTE Pivot for regular counts'!$A$2,"State","DE","Category",2,"Category2","Four-Year")</f>
        <v>0</v>
      </c>
      <c r="E13" s="305">
        <f>+GETPIVOTDATA("Sum of Old-HS % of Total",'Pivot-HS Student % of Undergrad'!$A$3,"State","DE","Category",2,"Category2","Four-Year")</f>
        <v>0</v>
      </c>
      <c r="F13" s="331">
        <f>+GETPIVOTDATA("Undergrad Student Credit Hour  FTE - Old",'FTE Pivot for regular counts'!$A$2,"State","DE","Category",3,"Category2","Four-Year")</f>
        <v>0</v>
      </c>
      <c r="G13" s="305">
        <f>+GETPIVOTDATA("Sum of Old-HS % of Total",'Pivot-HS Student % of Undergrad'!$A$3,"State","DE","Category",3,"Category2","Four-Year")</f>
        <v>0</v>
      </c>
      <c r="H13" s="331">
        <f>+GETPIVOTDATA("Undergrad Student Credit Hour  FTE - Old",'FTE Pivot for regular counts'!$A$2,"State","DE","Category",4,"Category2","Four-Year")</f>
        <v>3203.7</v>
      </c>
      <c r="I13" s="305">
        <f>+GETPIVOTDATA("Sum of Old-HS % of Total",'Pivot-HS Student % of Undergrad'!$A$3,"State","FL","Category",4,"Category2","Four-Year")</f>
        <v>7.4418397758106844E-3</v>
      </c>
      <c r="J13" s="331">
        <f>+GETPIVOTDATA("Undergrad Student Credit Hour  FTE - Old",'FTE Pivot for regular counts'!$A$2,"State","DE","Category",5,"Category2","Four-Year")</f>
        <v>0</v>
      </c>
      <c r="K13" s="305">
        <f>+GETPIVOTDATA("Sum of Old-HS % of Total",'Pivot-HS Student % of Undergrad'!$A$3,"State","FL","Category",5,"Category2","Four-Year")</f>
        <v>0</v>
      </c>
      <c r="L13" s="331">
        <f>+GETPIVOTDATA("Undergrad Student Credit Hour  FTE - Old",'FTE Pivot for regular counts'!$A$2,"State","DE","Category",6,"Category2","Four-Year")</f>
        <v>0</v>
      </c>
      <c r="M13" s="305">
        <f>+GETPIVOTDATA("Sum of Old-HS % of Total",'Pivot-HS Student % of Undergrad'!$A$3,"State","FL","Category",6,"Category2","Four-Year")</f>
        <v>2.5233783583197269E-3</v>
      </c>
      <c r="N13" s="331">
        <f>+GETPIVOTDATA("Undergrad Student Credit Hour  FTE - Old",'FTE Pivot for regular counts'!$A$2,"State","DE","Category2","Four-Year")</f>
        <v>20040.633333333335</v>
      </c>
      <c r="O13" s="305">
        <f>+GETPIVOTDATA("Sum of Old-HS % of Total",'Pivot-HS Student % of Undergrad'!$A$3,"State","DE","Category2","Group1")</f>
        <v>4.5407746594834826E-4</v>
      </c>
    </row>
    <row r="14" spans="1:17" ht="15" customHeight="1">
      <c r="A14" s="1" t="s">
        <v>423</v>
      </c>
      <c r="B14" s="5">
        <f>+GETPIVOTDATA("Undergrad Student Credit Hour  FTE - Old",'FTE Pivot for regular counts'!$A$2,"State","FL","Category",1,"Category2","Four-Year")</f>
        <v>165084.66666666666</v>
      </c>
      <c r="C14" s="305">
        <f>+GETPIVOTDATA("Sum of Old-HS % of Total",'Pivot-HS Student % of Undergrad'!$A$3,"State","FL","Category",1,"Category2","Four-Year")</f>
        <v>6.2111562955574308E-3</v>
      </c>
      <c r="D14" s="331">
        <f>+GETPIVOTDATA("Undergrad Student Credit Hour  FTE - Old",'FTE Pivot for regular counts'!$A$2,"State","FL","Category",2,"Category2","Four-Year")</f>
        <v>17318.866666666665</v>
      </c>
      <c r="E14" s="305">
        <f>+GETPIVOTDATA("Sum of Old-HS % of Total",'Pivot-HS Student % of Undergrad'!$A$3,"State","FL","Category",2,"Category2","Four-Year")</f>
        <v>7.5717040760942787E-3</v>
      </c>
      <c r="F14" s="331">
        <f>+GETPIVOTDATA("Undergrad Student Credit Hour  FTE - Old",'FTE Pivot for regular counts'!$A$2,"State","FL","Category",3,"Category2","Four-Year")</f>
        <v>29602.333333333332</v>
      </c>
      <c r="G14" s="305">
        <f>+GETPIVOTDATA("Sum of Old-HS % of Total",'Pivot-HS Student % of Undergrad'!$A$3,"State","FL","Category",3,"Category2","Four-Year")</f>
        <v>1.2746742936930648E-2</v>
      </c>
      <c r="H14" s="331">
        <f>+GETPIVOTDATA("Undergrad Student Credit Hour  FTE - Old",'FTE Pivot for regular counts'!$A$2,"State","FL","Category",4,"Category2","Four-Year")</f>
        <v>7493.666666666667</v>
      </c>
      <c r="I14" s="305">
        <f>+GETPIVOTDATA("Sum of Old-HS % of Total",'Pivot-HS Student % of Undergrad'!$A$3,"State","FL","Category",4,"Category2","Four-Year")</f>
        <v>7.4418397758106844E-3</v>
      </c>
      <c r="J14" s="331">
        <f>+GETPIVOTDATA("Undergrad Student Credit Hour  FTE - Old",'FTE Pivot for regular counts'!$A$2,"State","FL","Category",5,"Category2","Four-Year")</f>
        <v>0</v>
      </c>
      <c r="K14" s="305">
        <f>+GETPIVOTDATA("Sum of Old-HS % of Total",'Pivot-HS Student % of Undergrad'!$A$3,"State","FL","Category",5,"Category2","Four-Year")</f>
        <v>0</v>
      </c>
      <c r="L14" s="331">
        <f>+GETPIVOTDATA("Undergrad Student Credit Hour  FTE - Old",'FTE Pivot for regular counts'!$A$2,"State","FL","Category",6,"Category2","Four-Year")</f>
        <v>898.26666666666665</v>
      </c>
      <c r="M14" s="305">
        <f>+GETPIVOTDATA("Sum of Old-HS % of Total",'Pivot-HS Student % of Undergrad'!$A$3,"State","FL","Category",6,"Category2","Four-Year")</f>
        <v>2.5233783583197269E-3</v>
      </c>
      <c r="N14" s="331">
        <f>+GETPIVOTDATA("Undergrad Student Credit Hour  FTE - Old",'FTE Pivot for regular counts'!$A$2,"State","FL","Category2","Four-Year")</f>
        <v>220397.8</v>
      </c>
      <c r="O14" s="305">
        <f>+GETPIVOTDATA("Sum of Old-HS % of Total",'Pivot-HS Student % of Undergrad'!$A$3,"State","FL","Category2","Group1")</f>
        <v>7.2226976252334034E-3</v>
      </c>
    </row>
    <row r="15" spans="1:17" ht="15" customHeight="1">
      <c r="B15" s="5"/>
      <c r="C15" s="305"/>
      <c r="D15" s="331"/>
      <c r="E15" s="305"/>
      <c r="F15" s="331"/>
      <c r="G15" s="305"/>
      <c r="H15" s="331"/>
      <c r="I15" s="305"/>
      <c r="J15" s="331"/>
      <c r="K15" s="305"/>
      <c r="L15" s="331"/>
      <c r="M15" s="305"/>
      <c r="N15" s="331"/>
      <c r="O15" s="305"/>
    </row>
    <row r="16" spans="1:17" ht="15" customHeight="1">
      <c r="A16" s="1" t="s">
        <v>424</v>
      </c>
      <c r="B16" s="5">
        <f>+GETPIVOTDATA("Undergrad Student Credit Hour  FTE - Old",'FTE Pivot for regular counts'!$A$2,"State","GA","Category",1,"Category2","Four-Year")</f>
        <v>43268.526666666672</v>
      </c>
      <c r="C16" s="305">
        <f>+GETPIVOTDATA("Sum of Old-HS % of Total",'Pivot-HS Student % of Undergrad'!$A$3,"State","GA","Category",1,"Category2","Four-Year")</f>
        <v>1.6439971224657677E-3</v>
      </c>
      <c r="D16" s="331">
        <f>+GETPIVOTDATA("Undergrad Student Credit Hour  FTE - Old",'FTE Pivot for regular counts'!$A$2,"State","GA","Category",2,"Category2","Four-Year")</f>
        <v>12807.266666666666</v>
      </c>
      <c r="E16" s="305">
        <f>+GETPIVOTDATA("Sum of Old-HS % of Total",'Pivot-HS Student % of Undergrad'!$A$3,"State","GA","Category",2,"Category2","Four-Year")</f>
        <v>3.052954312395567E-3</v>
      </c>
      <c r="F16" s="331">
        <f>+GETPIVOTDATA("Undergrad Student Credit Hour  FTE - Old",'FTE Pivot for regular counts'!$A$2,"State","GA","Category",3,"Category2","Four-Year")</f>
        <v>32486.133333333331</v>
      </c>
      <c r="G16" s="305">
        <f>+GETPIVOTDATA("Sum of Old-HS % of Total",'Pivot-HS Student % of Undergrad'!$A$3,"State","GA","Category",3,"Category2","Four-Year")</f>
        <v>5.2165847171716344E-3</v>
      </c>
      <c r="H16" s="331">
        <f>+GETPIVOTDATA("Undergrad Student Credit Hour  FTE - Old",'FTE Pivot for regular counts'!$A$2,"State","GA","Category",4,"Category2","Four-Year")</f>
        <v>36658.33</v>
      </c>
      <c r="I16" s="305">
        <f>+GETPIVOTDATA("Sum of Old-HS % of Total",'Pivot-HS Student % of Undergrad'!$A$3,"State","GA","Category",4,"Category2","Four-Year")</f>
        <v>3.7763131417425E-3</v>
      </c>
      <c r="J16" s="331">
        <f>+GETPIVOTDATA("Undergrad Student Credit Hour  FTE - Old",'FTE Pivot for regular counts'!$A$2,"State","GA","Category",5,"Category2","Four-Year")</f>
        <v>16893.333333333332</v>
      </c>
      <c r="K16" s="305">
        <f>+GETPIVOTDATA("Sum of Old-HS % of Total",'Pivot-HS Student % of Undergrad'!$A$3,"State","GA","Category",5,"Category2","Four-Year")</f>
        <v>3.2596685082872928E-3</v>
      </c>
      <c r="L16" s="331">
        <f>+GETPIVOTDATA("Undergrad Student Credit Hour  FTE - Old",'FTE Pivot for regular counts'!$A$2,"State","GA","Category",6,"Category2","Four-Year")</f>
        <v>9843.7333333333336</v>
      </c>
      <c r="M16" s="305">
        <f>+GETPIVOTDATA("Sum of Old-HS % of Total",'Pivot-HS Student % of Undergrad'!$A$3,"State","GA","Category",6,"Category2","Four-Year")</f>
        <v>1.1489543262718751E-2</v>
      </c>
      <c r="N16" s="331">
        <f>+GETPIVOTDATA("Undergrad Student Credit Hour  FTE - Old",'FTE Pivot for regular counts'!$A$2,"State","GA","Category2","Four-Year")</f>
        <v>151957.32333333333</v>
      </c>
      <c r="O16" s="305">
        <f>+GETPIVOTDATA("Sum of Old-HS % of Total",'Pivot-HS Student % of Undergrad'!$A$3,"State","GA","Category2","Group1")</f>
        <v>3.8583201331724788E-3</v>
      </c>
    </row>
    <row r="17" spans="1:15" ht="15" customHeight="1">
      <c r="A17" s="1" t="s">
        <v>425</v>
      </c>
      <c r="B17" s="5">
        <f>+GETPIVOTDATA("Undergrad Student Credit Hour  FTE - Old",'FTE Pivot for regular counts'!$A$2,"State","KY","Category",1,"Category2","Four-Year")</f>
        <v>30085.466666666667</v>
      </c>
      <c r="C17" s="305">
        <f>+GETPIVOTDATA("Sum of Old-HS % of Total",'Pivot-HS Student % of Undergrad'!$A$3,"State","KY","Category",1,"Category2","Four-Year")</f>
        <v>1.2076705917807491E-3</v>
      </c>
      <c r="D17" s="331">
        <f>+GETPIVOTDATA("Undergrad Student Credit Hour  FTE - Old",'FTE Pivot for regular counts'!$A$2,"State","KY","Category",2,"Category2","Four-Year")</f>
        <v>0</v>
      </c>
      <c r="E17" s="305">
        <f>+GETPIVOTDATA("Sum of Old-HS % of Total",'Pivot-HS Student % of Undergrad'!$A$3,"State","KY","Category",2,"Category2","Four-Year")</f>
        <v>0</v>
      </c>
      <c r="F17" s="331">
        <f>+GETPIVOTDATA("Undergrad Student Credit Hour  FTE - Old",'FTE Pivot for regular counts'!$A$2,"State","KY","Category",3,"Category2","Four-Year")</f>
        <v>34208.866666666669</v>
      </c>
      <c r="G17" s="305">
        <f>+GETPIVOTDATA("Sum of Old-HS % of Total",'Pivot-HS Student % of Undergrad'!$A$3,"State","KY","Category",3,"Category2","Four-Year")</f>
        <v>1.4252640153722329E-2</v>
      </c>
      <c r="H17" s="331">
        <f>+GETPIVOTDATA("Undergrad Student Credit Hour  FTE - Old",'FTE Pivot for regular counts'!$A$2,"State","KY","Category",4,"Category2","Four-Year")</f>
        <v>17048.400000000001</v>
      </c>
      <c r="I17" s="305">
        <f>+GETPIVOTDATA("Sum of Old-HS % of Total",'Pivot-HS Student % of Undergrad'!$A$3,"State","KY","Category",4,"Category2","Four-Year")</f>
        <v>1.1301158270961889E-2</v>
      </c>
      <c r="J17" s="331">
        <f>+GETPIVOTDATA("Undergrad Student Credit Hour  FTE - Old",'FTE Pivot for regular counts'!$A$2,"State","KY","Category",5,"Category2","Four-Year")</f>
        <v>2077.6</v>
      </c>
      <c r="K17" s="305">
        <f>+GETPIVOTDATA("Sum of Old-HS % of Total",'Pivot-HS Student % of Undergrad'!$A$3,"State","KY","Category",5,"Category2","Four-Year")</f>
        <v>1.6044153510460788E-3</v>
      </c>
      <c r="L17" s="331">
        <f>+GETPIVOTDATA("Undergrad Student Credit Hour  FTE - Old",'FTE Pivot for regular counts'!$A$2,"State","KY","Category",6,"Category2","Four-Year")</f>
        <v>0</v>
      </c>
      <c r="M17" s="305">
        <f>+GETPIVOTDATA("Sum of Old-HS % of Total",'Pivot-HS Student % of Undergrad'!$A$3,"State","KY","Category",6,"Category2","Four-Year")</f>
        <v>0</v>
      </c>
      <c r="N17" s="331">
        <f>+GETPIVOTDATA("Undergrad Student Credit Hour  FTE - Old",'FTE Pivot for regular counts'!$A$2,"State","KY","Category2","Four-Year")</f>
        <v>83420.333333333343</v>
      </c>
      <c r="O17" s="305">
        <f>+GETPIVOTDATA("Sum of Old-HS % of Total",'Pivot-HS Student % of Undergrad'!$A$3,"State","KY","Category2","Group1")</f>
        <v>8.6297904987193367E-3</v>
      </c>
    </row>
    <row r="18" spans="1:15" ht="15" customHeight="1">
      <c r="A18" s="1" t="s">
        <v>426</v>
      </c>
      <c r="B18" s="5">
        <f>+GETPIVOTDATA("Undergrad Student Credit Hour  FTE - Old",'FTE Pivot for regular counts'!$A$2,"State","LA","Category",1,"Category2","Four-Year")</f>
        <v>23900.2</v>
      </c>
      <c r="C18" s="360">
        <f>+GETPIVOTDATA("Sum of Old-HS % of Total",'Pivot-HS Student % of Undergrad'!$A$3,"State","LA","Category",1,"Category2","Four-Year")</f>
        <v>2.8451644756110825E-4</v>
      </c>
      <c r="D18" s="331">
        <f>+GETPIVOTDATA("Undergrad Student Credit Hour  FTE - Old",'FTE Pivot for regular counts'!$A$2,"State","LA","Category",2,"Category2","Four-Year")</f>
        <v>26026.111111111113</v>
      </c>
      <c r="E18" s="305">
        <f>+GETPIVOTDATA("Sum of Old-HS % of Total",'Pivot-HS Student % of Undergrad'!$A$3,"State","LA","Category",2,"Category2","Four-Year")</f>
        <v>5.2797141262073124E-3</v>
      </c>
      <c r="F18" s="331">
        <f>+GETPIVOTDATA("Undergrad Student Credit Hour  FTE - Old",'FTE Pivot for regular counts'!$A$2,"State","LA","Category",3,"Category2","Four-Year")</f>
        <v>25767.766666666666</v>
      </c>
      <c r="G18" s="305">
        <f>+GETPIVOTDATA("Sum of Old-HS % of Total",'Pivot-HS Student % of Undergrad'!$A$3,"State","LA","Category",3,"Category2","Four-Year")</f>
        <v>1.266052031413924E-2</v>
      </c>
      <c r="H18" s="331">
        <f>+GETPIVOTDATA("Undergrad Student Credit Hour  FTE - Old",'FTE Pivot for regular counts'!$A$2,"State","LA","Category",4,"Category2","Four-Year")</f>
        <v>29557.533333333336</v>
      </c>
      <c r="I18" s="305">
        <f>+GETPIVOTDATA("Sum of Old-HS % of Total",'Pivot-HS Student % of Undergrad'!$A$3,"State","LA","Category",4,"Category2","Four-Year")</f>
        <v>1.2370224849615327E-2</v>
      </c>
      <c r="J18" s="331">
        <f>+GETPIVOTDATA("Undergrad Student Credit Hour  FTE - Old",'FTE Pivot for regular counts'!$A$2,"State","LA","Category",5,"Category2","Four-Year")</f>
        <v>0</v>
      </c>
      <c r="K18" s="305">
        <f>+GETPIVOTDATA("Sum of Old-HS % of Total",'Pivot-HS Student % of Undergrad'!$A$3,"State","LA","Category",5,"Category2","Four-Year")</f>
        <v>0</v>
      </c>
      <c r="L18" s="331">
        <f>+GETPIVOTDATA("Undergrad Student Credit Hour  FTE - Old",'FTE Pivot for regular counts'!$A$2,"State","LA","Category",6,"Category2","Four-Year")</f>
        <v>0</v>
      </c>
      <c r="M18" s="305">
        <f>+GETPIVOTDATA("Sum of Old-HS % of Total",'Pivot-HS Student % of Undergrad'!$A$3,"State","LA","Category",6,"Category2","Four-Year")</f>
        <v>0</v>
      </c>
      <c r="N18" s="331">
        <f>+GETPIVOTDATA("Undergrad Student Credit Hour  FTE - Old",'FTE Pivot for regular counts'!$A$2,"State","LA","Category2","Four-Year")</f>
        <v>105251.61111111112</v>
      </c>
      <c r="O18" s="305">
        <f>+GETPIVOTDATA("Sum of Old-HS % of Total",'Pivot-HS Student % of Undergrad'!$A$3,"State","LA","Category2","Group1")</f>
        <v>7.8800135774890669E-3</v>
      </c>
    </row>
    <row r="19" spans="1:15" ht="15" customHeight="1">
      <c r="A19" s="1" t="s">
        <v>427</v>
      </c>
      <c r="B19" s="5">
        <f>+GETPIVOTDATA("Undergrad Student Credit Hour  FTE - Old",'FTE Pivot for regular counts'!$A$2,"State","MD","Category",1,"Category2","Four-Year")</f>
        <v>25969.566666666666</v>
      </c>
      <c r="C19" s="305">
        <f>+GETPIVOTDATA("Sum of Old-HS % of Total",'Pivot-HS Student % of Undergrad'!$A$3,"State","MD","Category",1,"Category2","Four-Year")</f>
        <v>0</v>
      </c>
      <c r="D19" s="331">
        <f>+GETPIVOTDATA("Undergrad Student Credit Hour  FTE - Old",'FTE Pivot for regular counts'!$A$2,"State","MD","Category",2,"Category2","Four-Year")</f>
        <v>9076.5666666666675</v>
      </c>
      <c r="E19" s="305">
        <f>+GETPIVOTDATA("Sum of Old-HS % of Total",'Pivot-HS Student % of Undergrad'!$A$3,"State","MD","Category",2,"Category2","Four-Year")</f>
        <v>0</v>
      </c>
      <c r="F19" s="331">
        <f>+GETPIVOTDATA("Undergrad Student Credit Hour  FTE - Old",'FTE Pivot for regular counts'!$A$2,"State","MD","Category",3,"Category2","Four-Year")</f>
        <v>21224.199999999997</v>
      </c>
      <c r="G19" s="305">
        <f>+GETPIVOTDATA("Sum of Old-HS % of Total",'Pivot-HS Student % of Undergrad'!$A$3,"State","MD","Category",3,"Category2","Four-Year")</f>
        <v>0</v>
      </c>
      <c r="H19" s="331">
        <f>+GETPIVOTDATA("Undergrad Student Credit Hour  FTE - Old",'FTE Pivot for regular counts'!$A$2,"State","MD","Category",4,"Category2","Four-Year")</f>
        <v>23457.733333333334</v>
      </c>
      <c r="I19" s="305">
        <f>+GETPIVOTDATA("Sum of Old-HS % of Total",'Pivot-HS Student % of Undergrad'!$A$3,"State","MD","Category",4,"Category2","Four-Year")</f>
        <v>0</v>
      </c>
      <c r="J19" s="331">
        <f>+GETPIVOTDATA("Undergrad Student Credit Hour  FTE - Old",'FTE Pivot for regular counts'!$A$2,"State","MD","Category",5,"Category2","Four-Year")</f>
        <v>0</v>
      </c>
      <c r="K19" s="305">
        <f>+GETPIVOTDATA("Sum of Old-HS % of Total",'Pivot-HS Student % of Undergrad'!$A$3,"State","MD","Category",5,"Category2","Four-Year")</f>
        <v>0</v>
      </c>
      <c r="L19" s="331">
        <f>+GETPIVOTDATA("Undergrad Student Credit Hour  FTE - Old",'FTE Pivot for regular counts'!$A$2,"State","MD","Category",6,"Category2","Four-Year")</f>
        <v>2064.4516666666668</v>
      </c>
      <c r="M19" s="305">
        <f>+GETPIVOTDATA("Sum of Old-HS % of Total",'Pivot-HS Student % of Undergrad'!$A$3,"State","MD","Category",6,"Category2","Four-Year")</f>
        <v>0</v>
      </c>
      <c r="N19" s="331">
        <f>+GETPIVOTDATA("Undergrad Student Credit Hour  FTE - Old",'FTE Pivot for regular counts'!$A$2,"State","MD","Category2","Four-Year")</f>
        <v>81792.518333333326</v>
      </c>
      <c r="O19" s="305">
        <f>+GETPIVOTDATA("Sum of Old-HS % of Total",'Pivot-HS Student % of Undergrad'!$A$3,"State","MD","Category2","Group1")</f>
        <v>0</v>
      </c>
    </row>
    <row r="20" spans="1:15" ht="15" customHeight="1">
      <c r="B20" s="5"/>
      <c r="C20" s="305"/>
      <c r="D20" s="331"/>
      <c r="E20" s="305"/>
      <c r="F20" s="331"/>
      <c r="G20" s="305"/>
      <c r="H20" s="331"/>
      <c r="I20" s="305"/>
      <c r="J20" s="331"/>
      <c r="K20" s="305"/>
      <c r="L20" s="331"/>
      <c r="M20" s="305"/>
      <c r="N20" s="331"/>
      <c r="O20" s="305"/>
    </row>
    <row r="21" spans="1:15" ht="15" customHeight="1">
      <c r="A21" s="1" t="s">
        <v>428</v>
      </c>
      <c r="B21" s="5">
        <f>+GETPIVOTDATA("Undergrad Student Credit Hour  FTE - Old",'FTE Pivot for regular counts'!$A$2,"State","MS","Category",1,"Category2","Four-Year")</f>
        <v>23206.483333333334</v>
      </c>
      <c r="C21" s="305">
        <f>+GETPIVOTDATA("Sum of Old-HS % of Total",'Pivot-HS Student % of Undergrad'!$A$3,"State","MS","Category",1,"Category2","Four-Year")</f>
        <v>0</v>
      </c>
      <c r="D21" s="331">
        <f>+GETPIVOTDATA("Undergrad Student Credit Hour  FTE - Old",'FTE Pivot for regular counts'!$A$2,"State","MS","Category",2,"Category2","Four-Year")</f>
        <v>17503.366666666669</v>
      </c>
      <c r="E21" s="305">
        <f>+GETPIVOTDATA("Sum of Old-HS % of Total",'Pivot-HS Student % of Undergrad'!$A$3,"State","MS","Category",2,"Category2","Four-Year")</f>
        <v>0</v>
      </c>
      <c r="F21" s="331">
        <f>+GETPIVOTDATA("Undergrad Student Credit Hour  FTE - Old",'FTE Pivot for regular counts'!$A$2,"State","MS","Category",3,"Category2","Four-Year")</f>
        <v>0</v>
      </c>
      <c r="G21" s="305">
        <f>+GETPIVOTDATA("Sum of Old-HS % of Total",'Pivot-HS Student % of Undergrad'!$A$3,"State","MS","Category",3,"Category2","Four-Year")</f>
        <v>0</v>
      </c>
      <c r="H21" s="331">
        <f>+GETPIVOTDATA("Undergrad Student Credit Hour  FTE - Old",'FTE Pivot for regular counts'!$A$2,"State","MS","Category",4,"Category2","Four-Year")</f>
        <v>7672.3666666666668</v>
      </c>
      <c r="I21" s="305">
        <f>+GETPIVOTDATA("Sum of Old-HS % of Total",'Pivot-HS Student % of Undergrad'!$A$3,"State","MS","Category",4,"Category2","Four-Year")</f>
        <v>0</v>
      </c>
      <c r="J21" s="331">
        <f>+GETPIVOTDATA("Undergrad Student Credit Hour  FTE - Old",'FTE Pivot for regular counts'!$A$2,"State","MS","Category",5,"Category2","Four-Year")</f>
        <v>1850.2</v>
      </c>
      <c r="K21" s="305">
        <f>+GETPIVOTDATA("Sum of Old-HS % of Total",'Pivot-HS Student % of Undergrad'!$A$3,"State","MS","Category",5,"Category2","Four-Year")</f>
        <v>0</v>
      </c>
      <c r="L21" s="331">
        <f>+GETPIVOTDATA("Undergrad Student Credit Hour  FTE - Old",'FTE Pivot for regular counts'!$A$2,"State","MS","Category",6,"Category2","Four-Year")</f>
        <v>0</v>
      </c>
      <c r="M21" s="305">
        <f>+GETPIVOTDATA("Sum of Old-HS % of Total",'Pivot-HS Student % of Undergrad'!$A$3,"State","MS","Category",6,"Category2","Four-Year")</f>
        <v>0</v>
      </c>
      <c r="N21" s="331">
        <f>+GETPIVOTDATA("Undergrad Student Credit Hour  FTE - Old",'FTE Pivot for regular counts'!$A$2,"State","MS","Category2","Four-Year")</f>
        <v>50232.416666666672</v>
      </c>
      <c r="O21" s="305">
        <f>+GETPIVOTDATA("Sum of Old-HS % of Total",'Pivot-HS Student % of Undergrad'!$A$3,"State","MS","Category2","Group1")</f>
        <v>0</v>
      </c>
    </row>
    <row r="22" spans="1:15" ht="15" customHeight="1">
      <c r="A22" s="1" t="s">
        <v>429</v>
      </c>
      <c r="B22" s="5">
        <f>+GETPIVOTDATA("Undergrad Student Credit Hour  FTE - Old",'FTE Pivot for regular counts'!$A$2,"State","NC","Category",1,"Category2","Four-Year")</f>
        <v>39711.600000000006</v>
      </c>
      <c r="C22" s="305">
        <f>+GETPIVOTDATA("Sum of Old-HS % of Total",'Pivot-HS Student % of Undergrad'!$A$3,"State","NC","Category",1,"Category2","Four-Year")</f>
        <v>0</v>
      </c>
      <c r="D22" s="331">
        <f>+GETPIVOTDATA("Undergrad Student Credit Hour  FTE - Old",'FTE Pivot for regular counts'!$A$2,"State","NC","Category",2,"Category2","Four-Year")</f>
        <v>29717.433333333334</v>
      </c>
      <c r="E22" s="305">
        <f>+GETPIVOTDATA("Sum of Old-HS % of Total",'Pivot-HS Student % of Undergrad'!$A$3,"State","NC","Category",2,"Category2","Four-Year")</f>
        <v>1.4072547763770536E-2</v>
      </c>
      <c r="F22" s="331">
        <f>+GETPIVOTDATA("Undergrad Student Credit Hour  FTE - Old",'FTE Pivot for regular counts'!$A$2,"State","NC","Category",3,"Category2","Four-Year")</f>
        <v>65582.566666666666</v>
      </c>
      <c r="G22" s="305">
        <f>+GETPIVOTDATA("Sum of Old-HS % of Total",'Pivot-HS Student % of Undergrad'!$A$3,"State","NC","Category",3,"Category2","Four-Year")</f>
        <v>2.57537953429697E-3</v>
      </c>
      <c r="H22" s="331">
        <f>+GETPIVOTDATA("Undergrad Student Credit Hour  FTE - Old",'FTE Pivot for regular counts'!$A$2,"State","NC","Category",4,"Category2","Four-Year")</f>
        <v>5580.333333333333</v>
      </c>
      <c r="I22" s="305">
        <f>+GETPIVOTDATA("Sum of Old-HS % of Total",'Pivot-HS Student % of Undergrad'!$A$3,"State","NC","Category",4,"Category2","Four-Year")</f>
        <v>9.5872409055611976E-3</v>
      </c>
      <c r="J22" s="331">
        <f>+GETPIVOTDATA("Undergrad Student Credit Hour  FTE - Old",'FTE Pivot for regular counts'!$A$2,"State","NC","Category",5,"Category2","Four-Year")</f>
        <v>10490.833333333334</v>
      </c>
      <c r="K22" s="305">
        <f>+GETPIVOTDATA("Sum of Old-HS % of Total",'Pivot-HS Student % of Undergrad'!$A$3,"State","NC","Category",5,"Category2","Four-Year")</f>
        <v>0</v>
      </c>
      <c r="L22" s="331">
        <f>+GETPIVOTDATA("Undergrad Student Credit Hour  FTE - Old",'FTE Pivot for regular counts'!$A$2,"State","NC","Category",6,"Category2","Four-Year")</f>
        <v>6071.4</v>
      </c>
      <c r="M22" s="305">
        <f>+GETPIVOTDATA("Sum of Old-HS % of Total",'Pivot-HS Student % of Undergrad'!$A$3,"State","NC","Category",6,"Category2","Four-Year")</f>
        <v>0</v>
      </c>
      <c r="N22" s="331">
        <f>+GETPIVOTDATA("Undergrad Student Credit Hour  FTE - Old",'FTE Pivot for regular counts'!$A$2,"State","NC","Category2","Four-Year")</f>
        <v>157154.16666666669</v>
      </c>
      <c r="O22" s="305">
        <f>+GETPIVOTDATA("Sum of Old-HS % of Total",'Pivot-HS Student % of Undergrad'!$A$3,"State","NC","Category2","Group1")</f>
        <v>4.7826945001004173E-3</v>
      </c>
    </row>
    <row r="23" spans="1:15" ht="15" customHeight="1">
      <c r="A23" s="1" t="s">
        <v>430</v>
      </c>
      <c r="B23" s="5">
        <f>+GETPIVOTDATA("Undergrad Student Credit Hour  FTE - Old",'FTE Pivot for regular counts'!$A$2,"State","OK","Category",1,"Category2","Four-Year")</f>
        <v>35448.300000000003</v>
      </c>
      <c r="C23" s="305">
        <f>+GETPIVOTDATA("Sum of Old-HS % of Total",'Pivot-HS Student % of Undergrad'!$A$3,"State","OK","Category",1,"Category2","Four-Year")</f>
        <v>1.2459459739018984E-3</v>
      </c>
      <c r="D23" s="331">
        <f>+GETPIVOTDATA("Undergrad Student Credit Hour  FTE - Old",'FTE Pivot for regular counts'!$A$2,"State","OK","Category",2,"Category2","Four-Year")</f>
        <v>0</v>
      </c>
      <c r="E23" s="305">
        <f>+GETPIVOTDATA("Sum of Old-HS % of Total",'Pivot-HS Student % of Undergrad'!$A$3,"State","OK","Category",3,"Category2","Four-Year")</f>
        <v>6.4418534843673474E-3</v>
      </c>
      <c r="F23" s="331">
        <f>+GETPIVOTDATA("Undergrad Student Credit Hour  FTE - Old",'FTE Pivot for regular counts'!$A$2,"State","OK","Category",3,"Category2","Four-Year")</f>
        <v>16879.2</v>
      </c>
      <c r="G23" s="305">
        <f>+GETPIVOTDATA("Sum of Old-HS % of Total",'Pivot-HS Student % of Undergrad'!$A$3,"State","OK","Category",3,"Category2","Four-Year")</f>
        <v>6.4418534843673474E-3</v>
      </c>
      <c r="H23" s="331">
        <f>+GETPIVOTDATA("Undergrad Student Credit Hour  FTE - Old",'FTE Pivot for regular counts'!$A$2,"State","OK","Category",4,"Category2","Four-Year")</f>
        <v>0</v>
      </c>
      <c r="I23" s="305">
        <f>+GETPIVOTDATA("Sum of Old-HS % of Total",'Pivot-HS Student % of Undergrad'!$A$3,"State","OK","Category",4,"Category2","Four-Year")</f>
        <v>0</v>
      </c>
      <c r="J23" s="331">
        <f>+GETPIVOTDATA("Undergrad Student Credit Hour  FTE - Old",'FTE Pivot for regular counts'!$A$2,"State","OK","Category",5,"Category2","Four-Year")</f>
        <v>17622.233333333334</v>
      </c>
      <c r="K23" s="305">
        <f>+GETPIVOTDATA("Sum of Old-HS % of Total",'Pivot-HS Student % of Undergrad'!$A$3,"State","OK","Category",5,"Category2","Four-Year")</f>
        <v>1.121787941428312E-2</v>
      </c>
      <c r="L23" s="331">
        <f>+GETPIVOTDATA("Undergrad Student Credit Hour  FTE - Old",'FTE Pivot for regular counts'!$A$2,"State","OK","Category",6,"Category2","Four-Year")</f>
        <v>4970.333333333333</v>
      </c>
      <c r="M23" s="305">
        <f>+GETPIVOTDATA("Sum of Old-HS % of Total",'Pivot-HS Student % of Undergrad'!$A$3,"State","OK","Category",6,"Category2","Four-Year")</f>
        <v>1.6222922674535577E-2</v>
      </c>
      <c r="N23" s="331">
        <f>+GETPIVOTDATA("Undergrad Student Credit Hour  FTE - Old",'FTE Pivot for regular counts'!$A$2,"State","OK","Category2","Four-Year")</f>
        <v>74920.066666666666</v>
      </c>
      <c r="O23" s="305">
        <f>+GETPIVOTDATA("Sum of Old-HS % of Total",'Pivot-HS Student % of Undergrad'!$A$3,"State","OK","Category2","Group1")</f>
        <v>5.5899598929316854E-3</v>
      </c>
    </row>
    <row r="24" spans="1:15" ht="15" customHeight="1">
      <c r="A24" s="1" t="s">
        <v>431</v>
      </c>
      <c r="B24" s="5">
        <f>+GETPIVOTDATA("Undergrad Student Credit Hour  FTE - Old",'FTE Pivot for regular counts'!$A$2,"State","SC","Category",1,"Category2","Four-Year")</f>
        <v>33964.633333333331</v>
      </c>
      <c r="C24" s="360">
        <f>+GETPIVOTDATA("Sum of Old-HS % of Total",'Pivot-HS Student % of Undergrad'!$A$3,"State","SC","Category",1,"Category2","Four-Year")</f>
        <v>1.5237646683993717E-4</v>
      </c>
      <c r="D24" s="331">
        <f>+GETPIVOTDATA("Undergrad Student Credit Hour  FTE - Old",'FTE Pivot for regular counts'!$A$2,"State","SC","Category",2,"Category2","Four-Year")</f>
        <v>0</v>
      </c>
      <c r="E24" s="305">
        <f>+GETPIVOTDATA("Sum of Old-HS % of Total",'Pivot-HS Student % of Undergrad'!$A$3,"State","SC","Category",2,"Category2","Four-Year")</f>
        <v>0</v>
      </c>
      <c r="F24" s="331">
        <f>+GETPIVOTDATA("Undergrad Student Credit Hour  FTE - Old",'FTE Pivot for regular counts'!$A$2,"State","SC","Category",3,"Category2","Four-Year")</f>
        <v>14279.150000000001</v>
      </c>
      <c r="G24" s="305">
        <f>+GETPIVOTDATA("Sum of Old-HS % of Total",'Pivot-HS Student % of Undergrad'!$A$3,"State","SC","Category",3,"Category2","Four-Year")</f>
        <v>7.3702514251342164E-3</v>
      </c>
      <c r="H24" s="331">
        <f>+GETPIVOTDATA("Undergrad Student Credit Hour  FTE - Old",'FTE Pivot for regular counts'!$A$2,"State","SC","Category",4,"Category2","Four-Year")</f>
        <v>2719.5666666666666</v>
      </c>
      <c r="I24" s="305">
        <f>+GETPIVOTDATA("Sum of Old-HS % of Total",'Pivot-HS Student % of Undergrad'!$A$3,"State","SC","Category",4,"Category2","Four-Year")</f>
        <v>2.0468947258754457E-3</v>
      </c>
      <c r="J24" s="331">
        <f>+GETPIVOTDATA("Undergrad Student Credit Hour  FTE - Old",'FTE Pivot for regular counts'!$A$2,"State","SC","Category",5,"Category2","Four-Year")</f>
        <v>14455.900000000001</v>
      </c>
      <c r="K24" s="305">
        <f>+GETPIVOTDATA("Sum of Old-HS % of Total",'Pivot-HS Student % of Undergrad'!$A$3,"State","SC","Category",5,"Category2","Four-Year")</f>
        <v>2.3173928984013448E-3</v>
      </c>
      <c r="L24" s="331">
        <f>+GETPIVOTDATA("Undergrad Student Credit Hour  FTE - Old",'FTE Pivot for regular counts'!$A$2,"State","SC","Category",6,"Category2","Four-Year")</f>
        <v>10779.116666666667</v>
      </c>
      <c r="M24" s="305">
        <f>+GETPIVOTDATA("Sum of Old-HS % of Total",'Pivot-HS Student % of Undergrad'!$A$3,"State","SC","Category",6,"Category2","Four-Year")</f>
        <v>7.4186660316940007E-3</v>
      </c>
      <c r="N24" s="331">
        <f>+GETPIVOTDATA("Undergrad Student Credit Hour  FTE - Old",'FTE Pivot for regular counts'!$A$2,"State","SC","Category2","Four-Year")</f>
        <v>76198.366666666669</v>
      </c>
      <c r="O24" s="305">
        <f>+GETPIVOTDATA("Sum of Old-HS % of Total",'Pivot-HS Student % of Undergrad'!$A$3,"State","SC","Category2","Group1")</f>
        <v>3.0273130914472801E-3</v>
      </c>
    </row>
    <row r="25" spans="1:15" ht="15" customHeight="1">
      <c r="B25" s="5"/>
      <c r="C25" s="360"/>
      <c r="D25" s="331"/>
      <c r="E25" s="305"/>
      <c r="F25" s="331"/>
      <c r="G25" s="305"/>
      <c r="H25" s="331"/>
      <c r="I25" s="305"/>
      <c r="J25" s="331"/>
      <c r="K25" s="305"/>
      <c r="L25" s="331"/>
      <c r="M25" s="305"/>
      <c r="N25" s="331"/>
      <c r="O25" s="305"/>
    </row>
    <row r="26" spans="1:15" ht="15" customHeight="1">
      <c r="A26" s="1" t="s">
        <v>432</v>
      </c>
      <c r="B26" s="5">
        <f>+GETPIVOTDATA("Undergrad Student Credit Hour  FTE - Old",'FTE Pivot for regular counts'!$A$2,"State","TN","Category",1,"Category2","Four-Year")</f>
        <v>34068.300000000003</v>
      </c>
      <c r="C26" s="305">
        <f>+GETPIVOTDATA("Sum of Old-HS % of Total",'Pivot-HS Student % of Undergrad'!$A$3,"State","TN","Category",1,"Category2","Four-Year")</f>
        <v>2.9352800110366527E-3</v>
      </c>
      <c r="D26" s="331">
        <f>+GETPIVOTDATA("Undergrad Student Credit Hour  FTE - Old",'FTE Pivot for regular counts'!$A$2,"State","TN","Category",2,"Category2","Four-Year")</f>
        <v>0</v>
      </c>
      <c r="E26" s="305">
        <f>+GETPIVOTDATA("Sum of Old-HS % of Total",'Pivot-HS Student % of Undergrad'!$A$3,"State","TN","Category",2,"Category2","Four-Year")</f>
        <v>0</v>
      </c>
      <c r="F26" s="331">
        <f>+GETPIVOTDATA("Undergrad Student Credit Hour  FTE - Old",'FTE Pivot for regular counts'!$A$2,"State","TN","Category",3,"Category2","Four-Year")</f>
        <v>50011.733333333337</v>
      </c>
      <c r="G26" s="305">
        <f>+GETPIVOTDATA("Sum of Old-HS % of Total",'Pivot-HS Student % of Undergrad'!$A$3,"State","TN","Category",3,"Category2","Four-Year")</f>
        <v>2.3361184575352986E-3</v>
      </c>
      <c r="H26" s="331">
        <f>+GETPIVOTDATA("Undergrad Student Credit Hour  FTE - Old",'FTE Pivot for regular counts'!$A$2,"State","TN","Category",4,"Category2","Four-Year")</f>
        <v>7234.7333333333336</v>
      </c>
      <c r="I26" s="305">
        <f>+GETPIVOTDATA("Sum of Old-HS % of Total",'Pivot-HS Student % of Undergrad'!$A$3,"State","TN","Category",4,"Category2","Four-Year")</f>
        <v>4.4922180960367116E-3</v>
      </c>
      <c r="J26" s="331">
        <f>+GETPIVOTDATA("Undergrad Student Credit Hour  FTE - Old",'FTE Pivot for regular counts'!$A$2,"State","TN","Category",5,"Category2","Four-Year")</f>
        <v>6155.4666666666662</v>
      </c>
      <c r="K26" s="305">
        <f>+GETPIVOTDATA("Sum of Old-HS % of Total",'Pivot-HS Student % of Undergrad'!$A$3,"State","TN","Category",5,"Category2","Four-Year")</f>
        <v>3.272971450851276E-2</v>
      </c>
      <c r="L26" s="331">
        <f>+GETPIVOTDATA("Undergrad Student Credit Hour  FTE - Old",'FTE Pivot for regular counts'!$A$2,"State","TN","Category",6,"Category2","Four-Year")</f>
        <v>0</v>
      </c>
      <c r="M26" s="305">
        <f>+GETPIVOTDATA("Sum of Old-HS % of Total",'Pivot-HS Student % of Undergrad'!$A$3,"State","TN","Category",6,"Category2","Four-Year")</f>
        <v>0</v>
      </c>
      <c r="N26" s="331">
        <f>+GETPIVOTDATA("Undergrad Student Credit Hour  FTE - Old",'FTE Pivot for regular counts'!$A$2,"State","TN","Category2","Four-Year")</f>
        <v>97470.233333333337</v>
      </c>
      <c r="O26" s="305">
        <f>+GETPIVOTDATA("Sum of Old-HS % of Total",'Pivot-HS Student % of Undergrad'!$A$3,"State","TN","Category2","Group1")</f>
        <v>4.6250017526718416E-3</v>
      </c>
    </row>
    <row r="27" spans="1:15" ht="15" customHeight="1">
      <c r="A27" s="1" t="s">
        <v>433</v>
      </c>
      <c r="B27" s="5">
        <f>+GETPIVOTDATA("Undergrad Student Credit Hour  FTE - Old",'FTE Pivot for regular counts'!$A$2,"State","TX","Category",1,"Category2","Four-Year")</f>
        <v>162221.83333333334</v>
      </c>
      <c r="C27" s="360">
        <f>+GETPIVOTDATA("Sum of Old-HS % of Total",'Pivot-HS Student % of Undergrad'!$A$3,"State","TX","Category",1,"Category2","Four-Year")</f>
        <v>9.3082414923597421E-5</v>
      </c>
      <c r="D27" s="331">
        <f>+GETPIVOTDATA("Undergrad Student Credit Hour  FTE - Old",'FTE Pivot for regular counts'!$A$2,"State","TX","Category",2,"Category2","Four-Year")</f>
        <v>40107.766666666663</v>
      </c>
      <c r="E27" s="305">
        <f>+GETPIVOTDATA("Sum of Old-HS % of Total",'Pivot-HS Student % of Undergrad'!$A$3,"State","TX","Category",2,"Category2","Four-Year")</f>
        <v>4.8934828084003677E-3</v>
      </c>
      <c r="F27" s="331">
        <f>+GETPIVOTDATA("Undergrad Student Credit Hour  FTE - Old",'FTE Pivot for regular counts'!$A$2,"State","TX","Category",3,"Category2","Four-Year")</f>
        <v>125921.20000000001</v>
      </c>
      <c r="G27" s="305">
        <f>+GETPIVOTDATA("Sum of Old-HS % of Total",'Pivot-HS Student % of Undergrad'!$A$3,"State","TX","Category",3,"Category2","Four-Year")</f>
        <v>2.9153152924209745E-3</v>
      </c>
      <c r="H27" s="331">
        <f>+GETPIVOTDATA("Undergrad Student Credit Hour  FTE - Old",'FTE Pivot for regular counts'!$A$2,"State","TX","Category",4,"Category2","Four-Year")</f>
        <v>7107.7999999999993</v>
      </c>
      <c r="I27" s="305">
        <f>+GETPIVOTDATA("Sum of Old-HS % of Total",'Pivot-HS Student % of Undergrad'!$A$3,"State","TX","Category",4,"Category2","Four-Year")</f>
        <v>3.8145886678484668E-2</v>
      </c>
      <c r="J27" s="331">
        <f>+GETPIVOTDATA("Undergrad Student Credit Hour  FTE - Old",'FTE Pivot for regular counts'!$A$2,"State","TX","Category",5,"Category2","Four-Year")</f>
        <v>9030.3666666666668</v>
      </c>
      <c r="K27" s="360">
        <f>+GETPIVOTDATA("Sum of Old-HS % of Total",'Pivot-HS Student % of Undergrad'!$A$3,"State","TX","Category",5,"Category2","Four-Year")</f>
        <v>5.4261362587713306E-4</v>
      </c>
      <c r="L27" s="331">
        <f>+GETPIVOTDATA("Undergrad Student Credit Hour  FTE - Old",'FTE Pivot for regular counts'!$A$2,"State","TX","Category",6,"Category2","Four-Year")</f>
        <v>1482.7</v>
      </c>
      <c r="M27" s="305">
        <f>+GETPIVOTDATA("Sum of Old-HS % of Total",'Pivot-HS Student % of Undergrad'!$A$3,"State","TX","Category",6,"Category2","Four-Year")</f>
        <v>0</v>
      </c>
      <c r="N27" s="331">
        <f>+GETPIVOTDATA("Undergrad Student Credit Hour  FTE - Old",'FTE Pivot for regular counts'!$A$2,"State","TX","Category2","Four-Year")</f>
        <v>345871.66666666669</v>
      </c>
      <c r="O27" s="305">
        <f>+GETPIVOTDATA("Sum of Old-HS % of Total",'Pivot-HS Student % of Undergrad'!$A$3,"State","TX","Category2","Group1")</f>
        <v>2.4705695272331258E-3</v>
      </c>
    </row>
    <row r="28" spans="1:15" ht="15" customHeight="1">
      <c r="A28" s="1" t="s">
        <v>434</v>
      </c>
      <c r="B28" s="5">
        <f>+GETPIVOTDATA("Undergrad Student Credit Hour  FTE - Old",'FTE Pivot for regular counts'!$A$2,"State","VA","Category",1,"Category2","Four-Year")</f>
        <v>70537.416666666657</v>
      </c>
      <c r="C28" s="360">
        <f>+GETPIVOTDATA("Sum of Old-HS % of Total",'Pivot-HS Student % of Undergrad'!$A$3,"State","VA","Category",1,"Category2","Four-Year")</f>
        <v>3.2606807970710582E-4</v>
      </c>
      <c r="D28" s="331">
        <f>+GETPIVOTDATA("Undergrad Student Credit Hour  FTE - Old",'FTE Pivot for regular counts'!$A$2,"State","VA","Category",2,"Category2","Four-Year")</f>
        <v>25859.116666666669</v>
      </c>
      <c r="E28" s="305">
        <f>+GETPIVOTDATA("Sum of Old-HS % of Total",'Pivot-HS Student % of Undergrad'!$A$3,"State","VA","Category",2,"Category2","Four-Year")</f>
        <v>3.5899653700467984E-3</v>
      </c>
      <c r="F28" s="331">
        <f>+GETPIVOTDATA("Undergrad Student Credit Hour  FTE - Old",'FTE Pivot for regular counts'!$A$2,"State","VA","Category",3,"Category2","Four-Year")</f>
        <v>21437.399999999998</v>
      </c>
      <c r="G28" s="305">
        <f>+GETPIVOTDATA("Sum of Old-HS % of Total",'Pivot-HS Student % of Undergrad'!$A$3,"State","VA","Category",3,"Category2","Four-Year")</f>
        <v>1.6559844010934162E-3</v>
      </c>
      <c r="H28" s="331">
        <f>+GETPIVOTDATA("Undergrad Student Credit Hour  FTE - Old",'FTE Pivot for regular counts'!$A$2,"State","VA","Category",4,"Category2","Four-Year")</f>
        <v>12214.8</v>
      </c>
      <c r="I28" s="360">
        <f>+GETPIVOTDATA("Sum of Old-HS % of Total",'Pivot-HS Student % of Undergrad'!$A$3,"State","VA","Category",4,"Category2","Four-Year")</f>
        <v>0</v>
      </c>
      <c r="J28" s="331">
        <f>+GETPIVOTDATA("Undergrad Student Credit Hour  FTE - Old",'FTE Pivot for regular counts'!$A$2,"State","VA","Category",5,"Category2","Four-Year")</f>
        <v>12483.999999999998</v>
      </c>
      <c r="K28" s="360">
        <f>+GETPIVOTDATA("Sum of Old-HS % of Total",'Pivot-HS Student % of Undergrad'!$A$3,"State","VA","Category",5,"Category2","Four-Year")</f>
        <v>3.5779130620527608E-4</v>
      </c>
      <c r="L28" s="331">
        <f>+GETPIVOTDATA("Undergrad Student Credit Hour  FTE - Old",'FTE Pivot for regular counts'!$A$2,"State","VA","Category",6,"Category2","Four-Year")</f>
        <v>1624.3</v>
      </c>
      <c r="M28" s="305">
        <f>+GETPIVOTDATA("Sum of Old-HS % of Total",'Pivot-HS Student % of Undergrad'!$A$3,"State","VA","Category",6,"Category2","Four-Year")</f>
        <v>1.72381949147325E-3</v>
      </c>
      <c r="N28" s="331">
        <f>+GETPIVOTDATA("Undergrad Student Credit Hour  FTE - Old",'FTE Pivot for regular counts'!$A$2,"State","VA","Category2","Four-Year")</f>
        <v>144157.0333333333</v>
      </c>
      <c r="O28" s="305">
        <f>+GETPIVOTDATA("Sum of Old-HS % of Total",'Pivot-HS Student % of Undergrad'!$A$3,"State","VA","Category2","Group1")</f>
        <v>1.1001891224639057E-3</v>
      </c>
    </row>
    <row r="29" spans="1:15" s="25" customFormat="1" ht="15" customHeight="1">
      <c r="A29" s="3" t="s">
        <v>435</v>
      </c>
      <c r="B29" s="6">
        <f>+GETPIVOTDATA("Undergrad Student Credit Hour  FTE - Old",'FTE Pivot for regular counts'!$A$2,"State","WV","Category",1,"Category2","Four-Year")</f>
        <v>20961.966666666667</v>
      </c>
      <c r="C29" s="306">
        <f>+GETPIVOTDATA("Sum of Old-HS % of Total",'Pivot-HS Student % of Undergrad'!$A$3,"State","WV","Category",1,"Category2","Four-Year")</f>
        <v>4.12334084429101E-3</v>
      </c>
      <c r="D29" s="332">
        <f>+GETPIVOTDATA("Undergrad Student Credit Hour  FTE - Old",'FTE Pivot for regular counts'!$A$2,"State","WV","Category",2,"Category2","Four-Year")</f>
        <v>0</v>
      </c>
      <c r="E29" s="306">
        <f>+GETPIVOTDATA("Sum of Old-HS % of Total",'Pivot-HS Student % of Undergrad'!$A$3,"State","WV","Category",2,"Category2","Four-Year")</f>
        <v>0</v>
      </c>
      <c r="F29" s="332">
        <f>+GETPIVOTDATA("Undergrad Student Credit Hour  FTE - Old",'FTE Pivot for regular counts'!$A$2,"State","WV","Category",3,"Category2","Four-Year")</f>
        <v>8260.2333333333336</v>
      </c>
      <c r="G29" s="306">
        <f>+GETPIVOTDATA("Sum of Old-HS % of Total",'Pivot-HS Student % of Undergrad'!$A$3,"State","WV","Category",3,"Category2","Four-Year")</f>
        <v>1.5479788706533713E-2</v>
      </c>
      <c r="H29" s="332">
        <f>+GETPIVOTDATA("Undergrad Student Credit Hour  FTE - Old",'FTE Pivot for regular counts'!$A$2,"State","WV","Category",4,"Category2","Four-Year")</f>
        <v>0</v>
      </c>
      <c r="I29" s="306">
        <f>+GETPIVOTDATA("Sum of Old-HS % of Total",'Pivot-HS Student % of Undergrad'!$A$3,"State","WV","Category",4,"Category2","Four-Year")</f>
        <v>0</v>
      </c>
      <c r="J29" s="332">
        <f>+GETPIVOTDATA("Undergrad Student Credit Hour  FTE - Old",'FTE Pivot for regular counts'!$A$2,"State","WV","Category",5,"Category2","Four-Year")</f>
        <v>3775.6666666666665</v>
      </c>
      <c r="K29" s="413">
        <f>+GETPIVOTDATA("Sum of Old-HS % of Total",'Pivot-HS Student % of Undergrad'!$A$3,"State","WV","Category",5,"Category2","Four-Year")</f>
        <v>0</v>
      </c>
      <c r="L29" s="332">
        <f>+GETPIVOTDATA("Undergrad Student Credit Hour  FTE - Old",'FTE Pivot for regular counts'!$A$2,"State","WV","Category",6,"Category2","Four-Year")</f>
        <v>14869.536666666667</v>
      </c>
      <c r="M29" s="306">
        <f>+GETPIVOTDATA("Sum of Old-HS % of Total",'Pivot-HS Student % of Undergrad'!$A$3,"Category",6,"Category2","Four-Year")</f>
        <v>1.3436131498576495E-2</v>
      </c>
      <c r="N29" s="332">
        <f>+GETPIVOTDATA("Undergrad Student Credit Hour  FTE - Old",'FTE Pivot for regular counts'!$A$2,"State","WV","Category2","Four-Year")</f>
        <v>47867.403333333335</v>
      </c>
      <c r="O29" s="306">
        <f>+GETPIVOTDATA("Sum of Old-HS % of Total",'Pivot-HS Student % of Undergrad'!$A$3,"State","WV","Category2","Group1")</f>
        <v>1.0084106644319749E-2</v>
      </c>
    </row>
    <row r="30" spans="1:15" ht="23.25" customHeight="1">
      <c r="A30" s="785" t="s">
        <v>79</v>
      </c>
      <c r="B30" s="787"/>
      <c r="C30" s="787"/>
      <c r="D30" s="787"/>
      <c r="E30" s="787"/>
      <c r="F30" s="787"/>
      <c r="G30" s="787"/>
      <c r="H30" s="787"/>
      <c r="I30" s="788"/>
      <c r="J30" s="788"/>
      <c r="K30" s="788"/>
      <c r="L30" s="788"/>
      <c r="M30" s="788"/>
      <c r="N30" s="788"/>
      <c r="O30" s="788"/>
    </row>
    <row r="31" spans="1:15">
      <c r="A31" s="50"/>
      <c r="B31" s="51"/>
      <c r="C31" s="51"/>
      <c r="D31" s="51"/>
      <c r="E31" s="51"/>
      <c r="F31" s="51"/>
      <c r="G31" s="51"/>
      <c r="H31" s="1"/>
      <c r="J31" s="136"/>
      <c r="K31" s="136"/>
      <c r="L31" s="136"/>
      <c r="M31" s="338"/>
      <c r="N31" s="49"/>
      <c r="O31" s="307" t="s">
        <v>876</v>
      </c>
    </row>
    <row r="32" spans="1:15" ht="18">
      <c r="A32" s="42" t="s">
        <v>973</v>
      </c>
      <c r="B32" s="44"/>
      <c r="C32" s="44"/>
      <c r="D32" s="44"/>
      <c r="E32" s="44"/>
      <c r="F32" s="52"/>
      <c r="G32" s="44"/>
      <c r="H32" s="122"/>
      <c r="I32" s="51"/>
      <c r="J32" s="136"/>
      <c r="K32" s="136"/>
      <c r="L32" s="136"/>
      <c r="M32" s="338"/>
      <c r="N32" s="49"/>
    </row>
    <row r="33" spans="1:14" ht="15.75">
      <c r="A33" s="44"/>
      <c r="B33" s="44"/>
      <c r="C33" s="44"/>
      <c r="D33" s="44"/>
      <c r="E33" s="44"/>
      <c r="F33" s="44"/>
      <c r="G33" s="44"/>
      <c r="H33" s="122"/>
      <c r="I33" s="51"/>
      <c r="J33" s="136"/>
      <c r="K33" s="136"/>
      <c r="L33" s="136"/>
      <c r="M33" s="338"/>
      <c r="N33" s="49"/>
    </row>
    <row r="34" spans="1:14" ht="15.75">
      <c r="A34" s="44" t="s">
        <v>385</v>
      </c>
      <c r="B34" s="44"/>
      <c r="C34" s="44"/>
      <c r="D34" s="44"/>
      <c r="E34" s="44"/>
      <c r="F34" s="44"/>
      <c r="G34" s="44"/>
      <c r="H34" s="122"/>
      <c r="I34" s="51"/>
      <c r="J34" s="136"/>
      <c r="K34" s="136"/>
      <c r="L34" s="136"/>
      <c r="M34" s="338"/>
      <c r="N34" s="49"/>
    </row>
    <row r="35" spans="1:14" ht="15.75">
      <c r="A35" s="44" t="s">
        <v>963</v>
      </c>
      <c r="B35" s="44"/>
      <c r="C35" s="44"/>
      <c r="D35" s="44"/>
      <c r="E35" s="44"/>
      <c r="F35" s="44"/>
      <c r="G35" s="44"/>
      <c r="H35" s="122"/>
    </row>
    <row r="37" spans="1:14" ht="15" customHeight="1">
      <c r="A37" s="53"/>
      <c r="B37" s="53" t="s">
        <v>418</v>
      </c>
      <c r="C37" s="53"/>
      <c r="D37" s="53"/>
      <c r="E37" s="53"/>
      <c r="F37" s="53"/>
      <c r="G37" s="53"/>
      <c r="H37" s="123"/>
    </row>
    <row r="38" spans="1:14" ht="15" customHeight="1">
      <c r="A38" s="54"/>
      <c r="B38" s="47">
        <v>1</v>
      </c>
      <c r="C38" s="47">
        <v>2</v>
      </c>
      <c r="D38" s="47">
        <v>3</v>
      </c>
      <c r="E38" s="47">
        <v>4</v>
      </c>
      <c r="F38" s="47">
        <v>5</v>
      </c>
      <c r="G38" s="55">
        <v>6</v>
      </c>
      <c r="H38" s="105" t="s">
        <v>382</v>
      </c>
    </row>
    <row r="39" spans="1:14" ht="15" customHeight="1">
      <c r="A39" s="1" t="s">
        <v>420</v>
      </c>
      <c r="B39" s="11">
        <f>+GETPIVOTDATA("Graduate FTE - Old",'FTE Pivot for regular counts'!$A$2,"Category",1,"Category2","Four-Year")</f>
        <v>200492.30833333335</v>
      </c>
      <c r="C39" s="11">
        <f>+GETPIVOTDATA("Graduate FTE - Old",'FTE Pivot for regular counts'!$A$2,"Category",2,"Category2","Four-Year")</f>
        <v>43502.416666666672</v>
      </c>
      <c r="D39" s="11">
        <f>+GETPIVOTDATA("Graduate FTE - Old",'FTE Pivot for regular counts'!$A$2,"Category",3,"Category2","Four-Year")</f>
        <v>78787.083333333328</v>
      </c>
      <c r="E39" s="11">
        <f>+GETPIVOTDATA("Graduate FTE - Old",'FTE Pivot for regular counts'!$A$2,"Category",4,"Category2","Four-Year")</f>
        <v>24594.854166666668</v>
      </c>
      <c r="F39" s="11">
        <f>+GETPIVOTDATA("Graduate FTE - Old",'FTE Pivot for regular counts'!$A$2,"Category",5,"Category2","Four-Year")</f>
        <v>9787.6666666666642</v>
      </c>
      <c r="G39" s="12">
        <f>+GETPIVOTDATA("Graduate FTE - Old",'FTE Pivot for regular counts'!$A$2,"Category",6,"Category2","Four-Year")</f>
        <v>675.70833333333326</v>
      </c>
      <c r="H39" s="124">
        <f>+GETPIVOTDATA("Graduate FTE - Old",'FTE Pivot for regular counts'!$A$2,"Category2","Four-Year")</f>
        <v>357840.03749999998</v>
      </c>
    </row>
    <row r="40" spans="1:14" ht="15" customHeight="1">
      <c r="B40" s="11"/>
      <c r="C40" s="11"/>
      <c r="D40" s="11"/>
      <c r="E40" s="11"/>
      <c r="F40" s="11"/>
      <c r="G40" s="12"/>
      <c r="H40" s="124"/>
    </row>
    <row r="41" spans="1:14" ht="15" customHeight="1">
      <c r="A41" s="1" t="s">
        <v>421</v>
      </c>
      <c r="B41" s="34">
        <f>+GETPIVOTDATA("Graduate FTE - Old",'FTE Pivot for regular counts'!$A$2,"State","AL","Category",1,"Category2","Four-Year")</f>
        <v>8986.75</v>
      </c>
      <c r="C41" s="34">
        <f>+GETPIVOTDATA("Graduate FTE - Old",'FTE Pivot for regular counts'!$A$2,"State","AL","Category",2,"Category2","Four-Year")</f>
        <v>885.25</v>
      </c>
      <c r="D41" s="34">
        <f>+GETPIVOTDATA("Graduate FTE - Old",'FTE Pivot for regular counts'!$A$2,"State","AL","Category",3,"Category2","Four-Year")</f>
        <v>4691.166666666667</v>
      </c>
      <c r="E41" s="34">
        <f>+GETPIVOTDATA("Graduate FTE - Old",'FTE Pivot for regular counts'!$A$2,"State","AL","Category",4,"Category2","Four-Year")</f>
        <v>2251.125</v>
      </c>
      <c r="F41" s="34">
        <f>+GETPIVOTDATA("Graduate FTE - Old",'FTE Pivot for regular counts'!$A$2,"State","AL","Category",5,"Category2","Four-Year")</f>
        <v>2064.708333333333</v>
      </c>
      <c r="G41" s="12">
        <f>+GETPIVOTDATA("Graduate FTE - Old",'FTE Pivot for regular counts'!$A$2,"State","AL","Category",6,"Category2","Four-Year")</f>
        <v>0</v>
      </c>
      <c r="H41" s="125">
        <f>+GETPIVOTDATA("Graduate FTE - Old",'FTE Pivot for regular counts'!$A$2,"State","AL","Category2","Four-Year")</f>
        <v>18879</v>
      </c>
    </row>
    <row r="42" spans="1:14" ht="15" customHeight="1">
      <c r="A42" s="4" t="s">
        <v>422</v>
      </c>
      <c r="B42" s="34">
        <f>+GETPIVOTDATA("Graduate FTE - Old",'FTE Pivot for regular counts'!$A$2,"State","AR","Category",1,"Category2","Four-Year")</f>
        <v>2907.0416666666665</v>
      </c>
      <c r="C42" s="34">
        <f>+GETPIVOTDATA("Graduate FTE - Old",'FTE Pivot for regular counts'!$A$2,"State","AR","Category",2,"Category2","Four-Year")</f>
        <v>0</v>
      </c>
      <c r="D42" s="34">
        <f>+GETPIVOTDATA("Graduate FTE - Old",'FTE Pivot for regular counts'!$A$2,"State","AR","Category",3,"Category2","Four-Year")</f>
        <v>4700.458333333333</v>
      </c>
      <c r="E42" s="34">
        <f>+GETPIVOTDATA("Graduate FTE - Old",'FTE Pivot for regular counts'!$A$2,"State","AR","Category",4,"Category2","Four-Year")</f>
        <v>874.45833333333326</v>
      </c>
      <c r="F42" s="34">
        <f>+GETPIVOTDATA("Graduate FTE - Old",'FTE Pivot for regular counts'!$A$2,"State","AR","Category",5,"Category2","Four-Year")</f>
        <v>401.04166666666669</v>
      </c>
      <c r="G42" s="12">
        <f>+GETPIVOTDATA("Graduate FTE - Old",'FTE Pivot for regular counts'!$A$2,"State","AR","Category",6,"Category2","Four-Year")</f>
        <v>85.25</v>
      </c>
      <c r="H42" s="125">
        <f>+GETPIVOTDATA("Graduate FTE - Old",'FTE Pivot for regular counts'!$A$2,"State","AR","Category2","Four-Year")</f>
        <v>8968.25</v>
      </c>
    </row>
    <row r="43" spans="1:14" ht="15" customHeight="1">
      <c r="A43" s="1" t="s">
        <v>459</v>
      </c>
      <c r="B43" s="34">
        <f>+GETPIVOTDATA("Graduate FTE - Old",'FTE Pivot for regular counts'!$A$2,"State","DE","Category",1,"Category2","Four-Year")</f>
        <v>2068.125</v>
      </c>
      <c r="C43" s="34">
        <f>+GETPIVOTDATA("Graduate FTE - Old",'FTE Pivot for regular counts'!$A$2,"State","DE","Category",2,"Category2","Four-Year")</f>
        <v>0</v>
      </c>
      <c r="D43" s="34">
        <f>+GETPIVOTDATA("Graduate FTE - Old",'FTE Pivot for regular counts'!$A$2,"State","DE","Category",3,"Category2","Four-Year")</f>
        <v>0</v>
      </c>
      <c r="E43" s="34">
        <f>+GETPIVOTDATA("Graduate FTE - Old",'FTE Pivot for regular counts'!$A$2,"State","DE","Category",4,"Category2","Four-Year")</f>
        <v>293.16666666666669</v>
      </c>
      <c r="F43" s="34">
        <f>+GETPIVOTDATA("Graduate FTE - Old",'FTE Pivot for regular counts'!$A$2,"State","DE","Category",5,"Category2","Four-Year")</f>
        <v>0</v>
      </c>
      <c r="G43" s="12">
        <f>+GETPIVOTDATA("Graduate FTE - Old",'FTE Pivot for regular counts'!$A$2,"State","DE","Category",6,"Category2","Four-Year")</f>
        <v>0</v>
      </c>
      <c r="H43" s="125">
        <f>+GETPIVOTDATA("Graduate FTE - Old",'FTE Pivot for regular counts'!$A$2,"State","DE","Category2","Four-Year")</f>
        <v>2361.2916666666665</v>
      </c>
      <c r="N43" s="107"/>
    </row>
    <row r="44" spans="1:14" ht="15" customHeight="1">
      <c r="A44" s="1" t="s">
        <v>423</v>
      </c>
      <c r="B44" s="34">
        <f>+GETPIVOTDATA("Graduate FTE - Old",'FTE Pivot for regular counts'!$A$2,"State","FL","Category",1,"Category2","Four-Year")</f>
        <v>40754</v>
      </c>
      <c r="C44" s="34">
        <f>+GETPIVOTDATA("Graduate FTE - Old",'FTE Pivot for regular counts'!$A$2,"State","FL","Category",2,"Category2","Four-Year")</f>
        <v>3177.3333333333335</v>
      </c>
      <c r="D44" s="34">
        <f>+GETPIVOTDATA("Graduate FTE - Old",'FTE Pivot for regular counts'!$A$2,"State","FL","Category",3,"Category2","Four-Year")</f>
        <v>4385.7083333333339</v>
      </c>
      <c r="E44" s="34">
        <f>+GETPIVOTDATA("Graduate FTE - Old",'FTE Pivot for regular counts'!$A$2,"State","FL","Category",4,"Category2","Four-Year")</f>
        <v>814.16666666666663</v>
      </c>
      <c r="F44" s="34">
        <f>+GETPIVOTDATA("Graduate FTE - Old",'FTE Pivot for regular counts'!$A$2,"State","FL","Category",5,"Category2","Four-Year")</f>
        <v>0</v>
      </c>
      <c r="G44" s="12">
        <f>+GETPIVOTDATA("Graduate FTE - Old",'FTE Pivot for regular counts'!$A$2,"State","FL","Category",6,"Category2","Four-Year")</f>
        <v>0</v>
      </c>
      <c r="H44" s="125">
        <f>+GETPIVOTDATA("Graduate FTE - Old",'FTE Pivot for regular counts'!$A$2,"State","FL","Category2","Four-Year")</f>
        <v>49131.208333333336</v>
      </c>
    </row>
    <row r="45" spans="1:14" ht="15" customHeight="1">
      <c r="B45" s="34"/>
      <c r="C45" s="34"/>
      <c r="D45" s="34"/>
      <c r="E45" s="34"/>
      <c r="F45" s="34"/>
      <c r="G45" s="12"/>
      <c r="H45" s="125"/>
    </row>
    <row r="46" spans="1:14" ht="15" customHeight="1">
      <c r="A46" s="1" t="s">
        <v>424</v>
      </c>
      <c r="B46" s="34">
        <f>+GETPIVOTDATA("Graduate FTE - Old",'FTE Pivot for regular counts'!$A$2,"State","GA","Category",1,"Category2","Four-Year")</f>
        <v>17813.954166666666</v>
      </c>
      <c r="C46" s="34">
        <f>+GETPIVOTDATA("Graduate FTE - Old",'FTE Pivot for regular counts'!$A$2,"State","GA","Category",2,"Category2","Four-Year")</f>
        <v>9080.2083333333339</v>
      </c>
      <c r="D46" s="34">
        <f>+GETPIVOTDATA("Graduate FTE - Old",'FTE Pivot for regular counts'!$A$2,"State","GA","Category",3,"Category2","Four-Year")</f>
        <v>4084.041666666667</v>
      </c>
      <c r="E46" s="34">
        <f>+GETPIVOTDATA("Graduate FTE - Old",'FTE Pivot for regular counts'!$A$2,"State","GA","Category",4,"Category2","Four-Year")</f>
        <v>4240.2916666666661</v>
      </c>
      <c r="F46" s="34">
        <f>+GETPIVOTDATA("Graduate FTE - Old",'FTE Pivot for regular counts'!$A$2,"State","GA","Category",5,"Category2","Four-Year")</f>
        <v>1647.9166666666667</v>
      </c>
      <c r="G46" s="12">
        <f>+GETPIVOTDATA("Graduate FTE - Old",'FTE Pivot for regular counts'!$A$2,"State","GA","Category",6,"Category2","Four-Year")</f>
        <v>104.16666666666667</v>
      </c>
      <c r="H46" s="125">
        <f>+GETPIVOTDATA("Graduate FTE - Old",'FTE Pivot for regular counts'!$A$2,"State","GA","Category2","Four-Year")</f>
        <v>36970.579166666663</v>
      </c>
    </row>
    <row r="47" spans="1:14" ht="15" customHeight="1">
      <c r="A47" s="1" t="s">
        <v>425</v>
      </c>
      <c r="B47" s="34">
        <f>+GETPIVOTDATA("Graduate FTE - Old",'FTE Pivot for regular counts'!$A$2,"State","KY","Category",1,"Category2","Four-Year")</f>
        <v>6697.75</v>
      </c>
      <c r="C47" s="34">
        <f>+GETPIVOTDATA("Graduate FTE - Old",'FTE Pivot for regular counts'!$A$2,"State","KY","Category",2,"Category2","Four-Year")</f>
        <v>0</v>
      </c>
      <c r="D47" s="34">
        <f>+GETPIVOTDATA("Graduate FTE - Old",'FTE Pivot for regular counts'!$A$2,"State","KY","Category",3,"Category2","Four-Year")</f>
        <v>4786.875</v>
      </c>
      <c r="E47" s="34">
        <f>+GETPIVOTDATA("Graduate FTE - Old",'FTE Pivot for regular counts'!$A$2,"State","KY","Category",4,"Category2","Four-Year")</f>
        <v>2506.875</v>
      </c>
      <c r="F47" s="34">
        <f>+GETPIVOTDATA("Graduate FTE - Old",'FTE Pivot for regular counts'!$A$2,"State","KY","Category",5,"Category2","Four-Year")</f>
        <v>111.08333333333333</v>
      </c>
      <c r="G47" s="12">
        <f>+GETPIVOTDATA("Graduate FTE - Old",'FTE Pivot for regular counts'!$A$2,"State","KY","Category",6,"Category2","Four-Year")</f>
        <v>0</v>
      </c>
      <c r="H47" s="125">
        <f>+GETPIVOTDATA("Graduate FTE - Old",'FTE Pivot for regular counts'!$A$2,"State","KY","Category2","Four-Year")</f>
        <v>14102.583333333334</v>
      </c>
    </row>
    <row r="48" spans="1:14" ht="15" customHeight="1">
      <c r="A48" s="1" t="s">
        <v>426</v>
      </c>
      <c r="B48" s="34">
        <f>+GETPIVOTDATA("Graduate FTE - Old",'FTE Pivot for regular counts'!$A$2,"State","LA","Category",1,"Category2","Four-Year")</f>
        <v>4441.145833333333</v>
      </c>
      <c r="C48" s="34">
        <f>+GETPIVOTDATA("Graduate FTE - Old",'FTE Pivot for regular counts'!$A$2,"State","LA","Category",2,"Category2","Four-Year")</f>
        <v>3806.0833333333335</v>
      </c>
      <c r="D48" s="34">
        <f>+GETPIVOTDATA("Graduate FTE - Old",'FTE Pivot for regular counts'!$A$2,"State","LA","Category",3,"Category2","Four-Year")</f>
        <v>2904.458333333333</v>
      </c>
      <c r="E48" s="34">
        <f>+GETPIVOTDATA("Graduate FTE - Old",'FTE Pivot for regular counts'!$A$2,"State","LA","Category",4,"Category2","Four-Year")</f>
        <v>2730.791666666667</v>
      </c>
      <c r="F48" s="34">
        <f>+GETPIVOTDATA("Graduate FTE - Old",'FTE Pivot for regular counts'!$A$2,"State","LA","Category",5,"Category2","Four-Year")</f>
        <v>0</v>
      </c>
      <c r="G48" s="12">
        <f>+GETPIVOTDATA("Graduate FTE - Old",'FTE Pivot for regular counts'!$A$2,"State","LA","Category",6,"Category2","Four-Year")</f>
        <v>0</v>
      </c>
      <c r="H48" s="125">
        <f>+GETPIVOTDATA("Graduate FTE - Old",'FTE Pivot for regular counts'!$A$2,"State","LA","Category2","Four-Year")</f>
        <v>13882.479166666668</v>
      </c>
    </row>
    <row r="49" spans="1:13" ht="15" customHeight="1">
      <c r="A49" s="1" t="s">
        <v>427</v>
      </c>
      <c r="B49" s="34">
        <f>+GETPIVOTDATA("Graduate FTE - Old",'FTE Pivot for regular counts'!$A$2,"State","MD","Category",1,"Category2","Four-Year")</f>
        <v>6226.666666666667</v>
      </c>
      <c r="C49" s="34">
        <f>+GETPIVOTDATA("Graduate FTE - Old",'FTE Pivot for regular counts'!$A$2,"State","MD","Category",2,"Category2","Four-Year")</f>
        <v>1199.4583333333333</v>
      </c>
      <c r="D49" s="34">
        <f>+GETPIVOTDATA("Graduate FTE - Old",'FTE Pivot for regular counts'!$A$2,"State","MD","Category",3,"Category2","Four-Year")</f>
        <v>2900.1666666666665</v>
      </c>
      <c r="E49" s="34">
        <f>+GETPIVOTDATA("Graduate FTE - Old",'FTE Pivot for regular counts'!$A$2,"State","MD","Category",4,"Category2","Four-Year")</f>
        <v>4606.916666666667</v>
      </c>
      <c r="F49" s="34">
        <f>+GETPIVOTDATA("Graduate FTE - Old",'FTE Pivot for regular counts'!$A$2,"State","MD","Category",5,"Category2","Four-Year")</f>
        <v>0</v>
      </c>
      <c r="G49" s="12">
        <f>+GETPIVOTDATA("Graduate FTE - Old",'FTE Pivot for regular counts'!$A$2,"State","MD","Category",6,"Category2","Four-Year")</f>
        <v>53.416666666666664</v>
      </c>
      <c r="H49" s="125">
        <f>+GETPIVOTDATA("Graduate FTE - Old",'FTE Pivot for regular counts'!$A$2,"State","MD","Category2","Four-Year")</f>
        <v>14986.624999999998</v>
      </c>
    </row>
    <row r="50" spans="1:13" ht="15" customHeight="1">
      <c r="B50" s="34"/>
      <c r="C50" s="34"/>
      <c r="D50" s="34"/>
      <c r="E50" s="34"/>
      <c r="F50" s="34"/>
      <c r="G50" s="12"/>
      <c r="H50" s="125"/>
    </row>
    <row r="51" spans="1:13" ht="15" customHeight="1">
      <c r="A51" s="1" t="s">
        <v>428</v>
      </c>
      <c r="B51" s="34">
        <f>+GETPIVOTDATA("Graduate FTE - Old",'FTE Pivot for regular counts'!$A$2,"State","MS","Category",1,"Category2","Four-Year")</f>
        <v>4872.8333333333339</v>
      </c>
      <c r="C51" s="34">
        <f>+GETPIVOTDATA("Graduate FTE - Old",'FTE Pivot for regular counts'!$A$2,"State","MS","Category",2,"Category2","Four-Year")</f>
        <v>3460.541666666667</v>
      </c>
      <c r="D51" s="34">
        <f>+GETPIVOTDATA("Graduate FTE - Old",'FTE Pivot for regular counts'!$A$2,"State","MS","Category",3,"Category2","Four-Year")</f>
        <v>0</v>
      </c>
      <c r="E51" s="34">
        <f>+GETPIVOTDATA("Graduate FTE - Old",'FTE Pivot for regular counts'!$A$2,"State","MS","Category",4,"Category2","Four-Year")</f>
        <v>1285.5416666666665</v>
      </c>
      <c r="F51" s="34">
        <f>+GETPIVOTDATA("Graduate FTE - Old",'FTE Pivot for regular counts'!$A$2,"State","MS","Category",5,"Category2","Four-Year")</f>
        <v>128.95833333333334</v>
      </c>
      <c r="G51" s="12">
        <f>+GETPIVOTDATA("Graduate FTE - Old",'FTE Pivot for regular counts'!$A$2,"State","MS","Category",6,"Category2","Four-Year")</f>
        <v>0</v>
      </c>
      <c r="H51" s="125">
        <f>+GETPIVOTDATA("Graduate FTE - Old",'FTE Pivot for regular counts'!$A$2,"State","MS","Category2","Four-Year")</f>
        <v>9747.875</v>
      </c>
    </row>
    <row r="52" spans="1:13" ht="15" customHeight="1">
      <c r="A52" s="1" t="s">
        <v>429</v>
      </c>
      <c r="B52" s="34">
        <f>+GETPIVOTDATA("Graduate FTE - Old",'FTE Pivot for regular counts'!$A$2,"State","NC","Category",1,"Category2","Four-Year")</f>
        <v>12652.666666666666</v>
      </c>
      <c r="C52" s="34">
        <f>+GETPIVOTDATA("Graduate FTE - Old",'FTE Pivot for regular counts'!$A$2,"State","NC","Category",2,"Category2","Four-Year")</f>
        <v>5739.625</v>
      </c>
      <c r="D52" s="34">
        <f>+GETPIVOTDATA("Graduate FTE - Old",'FTE Pivot for regular counts'!$A$2,"State","NC","Category",3,"Category2","Four-Year")</f>
        <v>10840.833333333334</v>
      </c>
      <c r="E52" s="34">
        <f>+GETPIVOTDATA("Graduate FTE - Old",'FTE Pivot for regular counts'!$A$2,"State","NC","Category",4,"Category2","Four-Year")</f>
        <v>471.41666666666669</v>
      </c>
      <c r="F52" s="34">
        <f>+GETPIVOTDATA("Graduate FTE - Old",'FTE Pivot for regular counts'!$A$2,"State","NC","Category",5,"Category2","Four-Year")</f>
        <v>796.08333333333326</v>
      </c>
      <c r="G52" s="12">
        <f>+GETPIVOTDATA("Graduate FTE - Old",'FTE Pivot for regular counts'!$A$2,"State","NC","Category",6,"Category2","Four-Year")</f>
        <v>48.791666666666671</v>
      </c>
      <c r="H52" s="125">
        <f>+GETPIVOTDATA("Graduate FTE - Old",'FTE Pivot for regular counts'!$A$2,"State","NC","Category2","Four-Year")</f>
        <v>30549.416666666668</v>
      </c>
    </row>
    <row r="53" spans="1:13" ht="15" customHeight="1">
      <c r="A53" s="1" t="s">
        <v>430</v>
      </c>
      <c r="B53" s="34">
        <f>+GETPIVOTDATA("Graduate FTE - Old",'FTE Pivot for regular counts'!$A$2,"State","OK","Category",1,"Category2","Four-Year")</f>
        <v>7581</v>
      </c>
      <c r="C53" s="34">
        <f>+GETPIVOTDATA("Graduate FTE - Old",'FTE Pivot for regular counts'!$A$2,"State","OK","Category",2,"Category2","Four-Year")</f>
        <v>0</v>
      </c>
      <c r="D53" s="34">
        <f>+GETPIVOTDATA("Graduate FTE - Old",'FTE Pivot for regular counts'!$A$2,"State","OK","Category",3,"Category2","Four-Year")</f>
        <v>1598.0416666666665</v>
      </c>
      <c r="E53" s="34">
        <f>+GETPIVOTDATA("Graduate FTE - Old",'FTE Pivot for regular counts'!$A$2,"State","OK","Category",4,"Category2","Four-Year")</f>
        <v>0</v>
      </c>
      <c r="F53" s="34">
        <f>+GETPIVOTDATA("Graduate FTE - Old",'FTE Pivot for regular counts'!$A$2,"State","OK","Category",5,"Category2","Four-Year")</f>
        <v>1892.5</v>
      </c>
      <c r="G53" s="12">
        <f>+GETPIVOTDATA("Graduate FTE - Old",'FTE Pivot for regular counts'!$A$2,"State","OK","Category",6,"Category2","Four-Year")</f>
        <v>0</v>
      </c>
      <c r="H53" s="125">
        <f>+GETPIVOTDATA("Graduate FTE - Old",'FTE Pivot for regular counts'!$A$2,"State","OK","Category2","Four-Year")</f>
        <v>11071.541666666666</v>
      </c>
    </row>
    <row r="54" spans="1:13" ht="15" customHeight="1">
      <c r="A54" s="1" t="s">
        <v>431</v>
      </c>
      <c r="B54" s="34">
        <f>+GETPIVOTDATA("Graduate FTE - Old",'FTE Pivot for regular counts'!$A$2,"State","SC","Category",1,"Category2","Four-Year")</f>
        <v>6952.625</v>
      </c>
      <c r="C54" s="34">
        <f>+GETPIVOTDATA("Graduate FTE - Old",'FTE Pivot for regular counts'!$A$2,"State","SC","Category",2,"Category2","Four-Year")</f>
        <v>0</v>
      </c>
      <c r="D54" s="34">
        <f>+GETPIVOTDATA("Graduate FTE - Old",'FTE Pivot for regular counts'!$A$2,"State","SC","Category",3,"Category2","Four-Year")</f>
        <v>1477.875</v>
      </c>
      <c r="E54" s="34">
        <f>+GETPIVOTDATA("Graduate FTE - Old",'FTE Pivot for regular counts'!$A$2,"State","SC","Category",4,"Category2","Four-Year")</f>
        <v>658.14583333333337</v>
      </c>
      <c r="F54" s="34">
        <f>+GETPIVOTDATA("Graduate FTE - Old",'FTE Pivot for regular counts'!$A$2,"State","SC","Category",5,"Category2","Four-Year")</f>
        <v>1066.2083333333333</v>
      </c>
      <c r="G54" s="12">
        <f>+GETPIVOTDATA("Graduate FTE - Old",'FTE Pivot for regular counts'!$A$2,"State","SC","Category",6,"Category2","Four-Year")</f>
        <v>178</v>
      </c>
      <c r="H54" s="125">
        <f>+GETPIVOTDATA("Graduate FTE - Old",'FTE Pivot for regular counts'!$A$2,"State","SC","Category2","Four-Year")</f>
        <v>10332.854166666668</v>
      </c>
    </row>
    <row r="55" spans="1:13" ht="15" customHeight="1">
      <c r="B55" s="34"/>
      <c r="C55" s="34"/>
      <c r="D55" s="34"/>
      <c r="E55" s="34"/>
      <c r="F55" s="34"/>
      <c r="G55" s="12"/>
      <c r="H55" s="125"/>
    </row>
    <row r="56" spans="1:13" ht="15" customHeight="1">
      <c r="A56" s="1" t="s">
        <v>432</v>
      </c>
      <c r="B56" s="34">
        <f>+GETPIVOTDATA("Graduate FTE - Old",'FTE Pivot for regular counts'!$A$2,"State","TN","Category",1,"Category2","Four-Year")</f>
        <v>8287.0416666666661</v>
      </c>
      <c r="C56" s="34">
        <f>+GETPIVOTDATA("Graduate FTE - Old",'FTE Pivot for regular counts'!$A$2,"State","TN","Category",2,"Category2","Four-Year")</f>
        <v>0</v>
      </c>
      <c r="D56" s="34">
        <f>+GETPIVOTDATA("Graduate FTE - Old",'FTE Pivot for regular counts'!$A$2,"State","TN","Category",3,"Category2","Four-Year")</f>
        <v>6953.458333333333</v>
      </c>
      <c r="E56" s="34">
        <f>+GETPIVOTDATA("Graduate FTE - Old",'FTE Pivot for regular counts'!$A$2,"State","TN","Category",4,"Category2","Four-Year")</f>
        <v>558.70833333333337</v>
      </c>
      <c r="F56" s="34">
        <f>+GETPIVOTDATA("Graduate FTE - Old",'FTE Pivot for regular counts'!$A$2,"State","TN","Category",5,"Category2","Four-Year")</f>
        <v>261.41666666666669</v>
      </c>
      <c r="G56" s="12">
        <f>+GETPIVOTDATA("Graduate FTE - Old",'FTE Pivot for regular counts'!$A$2,"State","TN","Category",6,"Category2","Four-Year")</f>
        <v>0</v>
      </c>
      <c r="H56" s="125">
        <f>+GETPIVOTDATA("Graduate FTE - Old",'FTE Pivot for regular counts'!$A$2,"State","TN","Category2","Four-Year")</f>
        <v>16060.625</v>
      </c>
    </row>
    <row r="57" spans="1:13" ht="15" customHeight="1">
      <c r="A57" s="1" t="s">
        <v>433</v>
      </c>
      <c r="B57" s="34">
        <f>+GETPIVOTDATA("Graduate FTE - Old",'FTE Pivot for regular counts'!$A$2,"State","TX","Category",1,"Category2","Four-Year")</f>
        <v>41315.916666666672</v>
      </c>
      <c r="C57" s="34">
        <f>+GETPIVOTDATA("Graduate FTE - Old",'FTE Pivot for regular counts'!$A$2,"State","TX","Category",2,"Category2","Four-Year")</f>
        <v>7942.375</v>
      </c>
      <c r="D57" s="34">
        <f>+GETPIVOTDATA("Graduate FTE - Old",'FTE Pivot for regular counts'!$A$2,"State","TX","Category",3,"Category2","Four-Year")</f>
        <v>25123.374999999996</v>
      </c>
      <c r="E57" s="34">
        <f>+GETPIVOTDATA("Graduate FTE - Old",'FTE Pivot for regular counts'!$A$2,"State","TX","Category",4,"Category2","Four-Year")</f>
        <v>2179.583333333333</v>
      </c>
      <c r="F57" s="34">
        <f>+GETPIVOTDATA("Graduate FTE - Old",'FTE Pivot for regular counts'!$A$2,"State","TX","Category",5,"Category2","Four-Year")</f>
        <v>206.25</v>
      </c>
      <c r="G57" s="12">
        <f>+GETPIVOTDATA("Graduate FTE - Old",'FTE Pivot for regular counts'!$A$2,"State","TX","Category",6,"Category2","Four-Year")</f>
        <v>34.333333333333336</v>
      </c>
      <c r="H57" s="125">
        <f>+GETPIVOTDATA("Graduate FTE - Old",'FTE Pivot for regular counts'!$A$2,"State","TX","Category2","Four-Year")</f>
        <v>76801.833333333328</v>
      </c>
    </row>
    <row r="58" spans="1:13" ht="15" customHeight="1">
      <c r="A58" s="1" t="s">
        <v>434</v>
      </c>
      <c r="B58" s="34">
        <f>+GETPIVOTDATA("Graduate FTE - Old",'FTE Pivot for regular counts'!$A$2,"State","VA","Category",1,"Category2","Four-Year")</f>
        <v>23998.083333333332</v>
      </c>
      <c r="C58" s="34">
        <f>+GETPIVOTDATA("Graduate FTE - Old",'FTE Pivot for regular counts'!$A$2,"State","VA","Category",2,"Category2","Four-Year")</f>
        <v>8211.5416666666679</v>
      </c>
      <c r="D58" s="34">
        <f>+GETPIVOTDATA("Graduate FTE - Old",'FTE Pivot for regular counts'!$A$2,"State","VA","Category",3,"Category2","Four-Year")</f>
        <v>1770.5</v>
      </c>
      <c r="E58" s="34">
        <f>+GETPIVOTDATA("Graduate FTE - Old",'FTE Pivot for regular counts'!$A$2,"State","VA","Category",4,"Category2","Four-Year")</f>
        <v>1123.6666666666667</v>
      </c>
      <c r="F58" s="34">
        <f>+GETPIVOTDATA("Graduate FTE - Old",'FTE Pivot for regular counts'!$A$2,"State","VA","Category",5,"Category2","Four-Year")</f>
        <v>940.58333333333326</v>
      </c>
      <c r="G58" s="12">
        <f>+GETPIVOTDATA("Graduate FTE - Old",'FTE Pivot for regular counts'!$A$2,"State","VA","Category",6,"Category2","Four-Year")</f>
        <v>0</v>
      </c>
      <c r="H58" s="125">
        <f>+GETPIVOTDATA("Graduate FTE - Old",'FTE Pivot for regular counts'!$A$2,"State","VA","Category2","Four-Year")</f>
        <v>36044.375</v>
      </c>
    </row>
    <row r="59" spans="1:13" ht="15" customHeight="1">
      <c r="A59" s="3" t="s">
        <v>435</v>
      </c>
      <c r="B59" s="13">
        <f>+GETPIVOTDATA("Graduate FTE - Old",'FTE Pivot for regular counts'!$A$2,"State","WV","Category",1,"Category2","Four-Year")</f>
        <v>4936.708333333333</v>
      </c>
      <c r="C59" s="13">
        <f>+GETPIVOTDATA("Graduate FTE - Old",'FTE Pivot for regular counts'!$A$2,"State","WV","Category",2,"Category2","Four-Year")</f>
        <v>0</v>
      </c>
      <c r="D59" s="13">
        <f>+GETPIVOTDATA("Graduate FTE - Old",'FTE Pivot for regular counts'!$A$2,"State","WV","Category",3,"Category2","Four-Year")</f>
        <v>2570.125</v>
      </c>
      <c r="E59" s="13">
        <f>+GETPIVOTDATA("Graduate FTE - Old",'FTE Pivot for regular counts'!$A$2,"State","WV","Category",4,"Category2","Four-Year")</f>
        <v>0</v>
      </c>
      <c r="F59" s="13">
        <f>+GETPIVOTDATA("Graduate FTE - Old",'FTE Pivot for regular counts'!$A$2,"State","WV","Category",5,"Category2","Four-Year")</f>
        <v>270.91666666666669</v>
      </c>
      <c r="G59" s="14">
        <f>+GETPIVOTDATA("Graduate FTE - Old",'FTE Pivot for regular counts'!$A$2,"State","WV","Category",6,"Category2","Four-Year")</f>
        <v>171.75</v>
      </c>
      <c r="H59" s="126">
        <f>+GETPIVOTDATA("Graduate FTE - Old",'FTE Pivot for regular counts'!$A$2,"State","WV","Category2","Four-Year")</f>
        <v>7949.5</v>
      </c>
    </row>
    <row r="60" spans="1:13" s="25" customFormat="1" ht="9.9499999999999993" customHeight="1">
      <c r="A60" s="77"/>
      <c r="B60" s="16"/>
      <c r="C60" s="16"/>
      <c r="D60" s="16"/>
      <c r="E60" s="16"/>
      <c r="F60" s="16"/>
      <c r="G60" s="16"/>
      <c r="H60" s="121"/>
      <c r="I60" s="15"/>
      <c r="J60" s="115"/>
      <c r="K60" s="115"/>
      <c r="L60" s="115"/>
      <c r="M60" s="115"/>
    </row>
    <row r="61" spans="1:13" ht="46.5" customHeight="1">
      <c r="A61" s="785" t="s">
        <v>79</v>
      </c>
      <c r="B61" s="786"/>
      <c r="C61" s="786"/>
      <c r="D61" s="786"/>
      <c r="E61" s="786"/>
      <c r="F61" s="786"/>
      <c r="G61" s="786"/>
      <c r="H61" s="786"/>
    </row>
    <row r="62" spans="1:13">
      <c r="A62" s="50"/>
      <c r="B62" s="51"/>
      <c r="C62" s="51"/>
      <c r="D62" s="51"/>
      <c r="E62" s="51"/>
      <c r="F62" s="51"/>
      <c r="G62" s="51"/>
      <c r="H62" s="307" t="s">
        <v>876</v>
      </c>
    </row>
    <row r="63" spans="1:13" ht="18">
      <c r="A63" s="42" t="s">
        <v>974</v>
      </c>
      <c r="B63" s="42"/>
      <c r="C63" s="42"/>
      <c r="D63" s="42"/>
      <c r="E63" s="42"/>
      <c r="F63" s="42"/>
      <c r="G63" s="42"/>
      <c r="H63" s="127"/>
      <c r="J63" s="391"/>
    </row>
    <row r="64" spans="1:13" ht="15.75">
      <c r="A64" s="56"/>
      <c r="B64" s="44"/>
      <c r="C64" s="44"/>
      <c r="D64" s="44"/>
      <c r="E64" s="44"/>
      <c r="F64" s="44"/>
      <c r="G64" s="44"/>
      <c r="H64" s="122"/>
    </row>
    <row r="65" spans="1:8" ht="15.75">
      <c r="A65" s="44" t="s">
        <v>388</v>
      </c>
      <c r="B65" s="44"/>
      <c r="C65" s="44"/>
      <c r="D65" s="44"/>
      <c r="E65" s="44"/>
      <c r="F65" s="44"/>
      <c r="G65" s="44"/>
      <c r="H65" s="122"/>
    </row>
    <row r="66" spans="1:8" ht="15.75">
      <c r="A66" s="44" t="s">
        <v>963</v>
      </c>
      <c r="B66" s="44"/>
      <c r="C66" s="44"/>
      <c r="D66" s="44"/>
      <c r="E66" s="44"/>
      <c r="F66" s="44"/>
      <c r="G66" s="44"/>
      <c r="H66" s="122"/>
    </row>
    <row r="67" spans="1:8" ht="15.75">
      <c r="A67" s="44"/>
      <c r="B67" s="44"/>
      <c r="C67" s="44"/>
      <c r="D67" s="44"/>
      <c r="E67" s="44"/>
      <c r="F67" s="44"/>
      <c r="G67" s="44"/>
      <c r="H67" s="122"/>
    </row>
    <row r="68" spans="1:8" ht="15" customHeight="1">
      <c r="A68" s="53"/>
      <c r="B68" s="53" t="s">
        <v>418</v>
      </c>
      <c r="C68" s="53"/>
      <c r="D68" s="53"/>
      <c r="E68" s="53"/>
      <c r="F68" s="53"/>
      <c r="G68" s="53"/>
      <c r="H68" s="123"/>
    </row>
    <row r="69" spans="1:8" ht="15" customHeight="1">
      <c r="A69" s="54"/>
      <c r="B69" s="47">
        <v>1</v>
      </c>
      <c r="C69" s="47">
        <v>2</v>
      </c>
      <c r="D69" s="47">
        <v>3</v>
      </c>
      <c r="E69" s="47">
        <v>4</v>
      </c>
      <c r="F69" s="47">
        <v>5</v>
      </c>
      <c r="G69" s="55">
        <v>6</v>
      </c>
      <c r="H69" s="105" t="s">
        <v>382</v>
      </c>
    </row>
    <row r="70" spans="1:8" ht="15" customHeight="1">
      <c r="A70" s="1" t="s">
        <v>420</v>
      </c>
      <c r="B70" s="11">
        <f>+'OLD Tables 44-50'!B9+'OLD Tables 44-50'!B39</f>
        <v>988878.16833333345</v>
      </c>
      <c r="C70" s="11">
        <f>+'OLD Tables 44-50'!D9+'OLD Tables 44-50'!C39</f>
        <v>226911.7111111111</v>
      </c>
      <c r="D70" s="11">
        <f>+'OLD Tables 44-50'!F9+'OLD Tables 44-50'!D39</f>
        <v>580146.2333333334</v>
      </c>
      <c r="E70" s="11">
        <f>+'OLD Tables 44-50'!H9+'OLD Tables 44-50'!E39</f>
        <v>207459.78416666665</v>
      </c>
      <c r="F70" s="11">
        <f>+'OLD Tables 44-50'!J9+'OLD Tables 44-50'!F39</f>
        <v>113825.13333333333</v>
      </c>
      <c r="G70" s="12">
        <f>+'OLD Tables 44-50'!L9+'OLD Tables 44-50'!G39</f>
        <v>64309.813333333339</v>
      </c>
      <c r="H70" s="124">
        <f>+'OLD Tables 44-50'!N9+'OLD Tables 44-50'!H39</f>
        <v>2181530.8436111109</v>
      </c>
    </row>
    <row r="71" spans="1:8" ht="15" customHeight="1">
      <c r="B71" s="11"/>
      <c r="C71" s="11"/>
      <c r="D71" s="11"/>
      <c r="E71" s="11"/>
      <c r="F71" s="11"/>
      <c r="G71" s="12"/>
      <c r="H71" s="124"/>
    </row>
    <row r="72" spans="1:8" ht="15" customHeight="1">
      <c r="A72" s="1" t="s">
        <v>421</v>
      </c>
      <c r="B72" s="34">
        <f>+'OLD Tables 44-50'!B11+'OLD Tables 44-50'!B41</f>
        <v>57825.05</v>
      </c>
      <c r="C72" s="34">
        <f>+'OLD Tables 44-50'!D11+'OLD Tables 44-50'!C41</f>
        <v>5878.05</v>
      </c>
      <c r="D72" s="34">
        <f>+'OLD Tables 44-50'!F11+'OLD Tables 44-50'!D41</f>
        <v>34775.5</v>
      </c>
      <c r="E72" s="34">
        <f>+'OLD Tables 44-50'!H11+'OLD Tables 44-50'!E41</f>
        <v>15831.558333333334</v>
      </c>
      <c r="F72" s="34">
        <f>+'OLD Tables 44-50'!J11+'OLD Tables 44-50'!F41</f>
        <v>6112.9750000000004</v>
      </c>
      <c r="G72" s="12">
        <f>+'OLD Tables 44-50'!L11+'OLD Tables 44-50'!G41</f>
        <v>2656.3666666666668</v>
      </c>
      <c r="H72" s="125">
        <f>+'OLD Tables 44-50'!N11+'OLD Tables 44-50'!H41</f>
        <v>123079.50000000001</v>
      </c>
    </row>
    <row r="73" spans="1:8" ht="15" customHeight="1">
      <c r="A73" s="4" t="s">
        <v>422</v>
      </c>
      <c r="B73" s="34">
        <f>+'OLD Tables 44-50'!B12+'OLD Tables 44-50'!B42</f>
        <v>17188.708333333332</v>
      </c>
      <c r="C73" s="34">
        <f>+'OLD Tables 44-50'!D12+'OLD Tables 44-50'!C42</f>
        <v>0</v>
      </c>
      <c r="D73" s="34">
        <f>+'OLD Tables 44-50'!F12+'OLD Tables 44-50'!D42</f>
        <v>30314.491666666665</v>
      </c>
      <c r="E73" s="34">
        <f>+'OLD Tables 44-50'!H12+'OLD Tables 44-50'!E42</f>
        <v>10209.991666666667</v>
      </c>
      <c r="F73" s="34">
        <f>+'OLD Tables 44-50'!J12+'OLD Tables 44-50'!F42</f>
        <v>5554.6416666666673</v>
      </c>
      <c r="G73" s="12">
        <f>+'OLD Tables 44-50'!L12+'OLD Tables 44-50'!G42</f>
        <v>8459.15</v>
      </c>
      <c r="H73" s="125">
        <f>+'OLD Tables 44-50'!N12+'OLD Tables 44-50'!H42</f>
        <v>71726.983333333337</v>
      </c>
    </row>
    <row r="74" spans="1:8" ht="15" customHeight="1">
      <c r="A74" s="1" t="s">
        <v>459</v>
      </c>
      <c r="B74" s="34">
        <f>+'OLD Tables 44-50'!B13+'OLD Tables 44-50'!B43</f>
        <v>18905.058333333334</v>
      </c>
      <c r="C74" s="34">
        <f>+'OLD Tables 44-50'!D13+'OLD Tables 44-50'!C43</f>
        <v>0</v>
      </c>
      <c r="D74" s="34">
        <f>+'OLD Tables 44-50'!F13+'OLD Tables 44-50'!D43</f>
        <v>0</v>
      </c>
      <c r="E74" s="1">
        <f>+'OLD Tables 44-50'!H13+'OLD Tables 44-50'!E43</f>
        <v>3496.8666666666663</v>
      </c>
      <c r="F74" s="34">
        <f>+'OLD Tables 44-50'!J13+'OLD Tables 44-50'!F43</f>
        <v>0</v>
      </c>
      <c r="G74" s="12">
        <f>+'OLD Tables 44-50'!L13+'OLD Tables 44-50'!G43</f>
        <v>0</v>
      </c>
      <c r="H74" s="1">
        <f>+'OLD Tables 44-50'!N13+'OLD Tables 44-50'!H43</f>
        <v>22401.925000000003</v>
      </c>
    </row>
    <row r="75" spans="1:8" ht="15" customHeight="1">
      <c r="A75" s="1" t="s">
        <v>423</v>
      </c>
      <c r="B75" s="34">
        <f>+'OLD Tables 44-50'!B14+'OLD Tables 44-50'!B44</f>
        <v>205838.66666666666</v>
      </c>
      <c r="C75" s="34">
        <f>+'OLD Tables 44-50'!D14+'OLD Tables 44-50'!C44</f>
        <v>20496.199999999997</v>
      </c>
      <c r="D75" s="34">
        <f>+'OLD Tables 44-50'!F14+'OLD Tables 44-50'!D44</f>
        <v>33988.041666666664</v>
      </c>
      <c r="E75" s="34">
        <f>+'OLD Tables 44-50'!H14+'OLD Tables 44-50'!E44</f>
        <v>8307.8333333333339</v>
      </c>
      <c r="F75" s="34">
        <f>+'OLD Tables 44-50'!J14+'OLD Tables 44-50'!F44</f>
        <v>0</v>
      </c>
      <c r="G75" s="12">
        <f>+'OLD Tables 44-50'!L14+'OLD Tables 44-50'!G44</f>
        <v>898.26666666666665</v>
      </c>
      <c r="H75" s="125">
        <f>+'OLD Tables 44-50'!N14+'OLD Tables 44-50'!H44</f>
        <v>269529.0083333333</v>
      </c>
    </row>
    <row r="76" spans="1:8" ht="15" customHeight="1">
      <c r="B76" s="34"/>
      <c r="C76" s="34"/>
      <c r="D76" s="34"/>
      <c r="E76" s="34"/>
      <c r="F76" s="34"/>
      <c r="G76" s="12"/>
      <c r="H76" s="125"/>
    </row>
    <row r="77" spans="1:8" ht="15" customHeight="1">
      <c r="A77" s="1" t="s">
        <v>424</v>
      </c>
      <c r="B77" s="34">
        <f>+'OLD Tables 44-50'!B16+'OLD Tables 44-50'!B46</f>
        <v>61082.480833333335</v>
      </c>
      <c r="C77" s="34">
        <f>+'OLD Tables 44-50'!D16+'OLD Tables 44-50'!C46</f>
        <v>21887.474999999999</v>
      </c>
      <c r="D77" s="34">
        <f>+'OLD Tables 44-50'!F16+'OLD Tables 44-50'!D46</f>
        <v>36570.174999999996</v>
      </c>
      <c r="E77" s="34">
        <f>+'OLD Tables 44-50'!H16+'OLD Tables 44-50'!E46</f>
        <v>40898.621666666666</v>
      </c>
      <c r="F77" s="34">
        <f>+'OLD Tables 44-50'!J16+'OLD Tables 44-50'!F46</f>
        <v>18541.25</v>
      </c>
      <c r="G77" s="12">
        <f>+'OLD Tables 44-50'!L16+'OLD Tables 44-50'!G46</f>
        <v>9947.9</v>
      </c>
      <c r="H77" s="125">
        <f>+'OLD Tables 44-50'!N16+'OLD Tables 44-50'!H46</f>
        <v>188927.9025</v>
      </c>
    </row>
    <row r="78" spans="1:8" ht="15" customHeight="1">
      <c r="A78" s="1" t="s">
        <v>425</v>
      </c>
      <c r="B78" s="34">
        <f>+'OLD Tables 44-50'!B17+'OLD Tables 44-50'!B47</f>
        <v>36783.216666666667</v>
      </c>
      <c r="C78" s="34">
        <f>+'OLD Tables 44-50'!D17+'OLD Tables 44-50'!C47</f>
        <v>0</v>
      </c>
      <c r="D78" s="34">
        <f>+'OLD Tables 44-50'!F17+'OLD Tables 44-50'!D47</f>
        <v>38995.741666666669</v>
      </c>
      <c r="E78" s="34">
        <f>+'OLD Tables 44-50'!H17+'OLD Tables 44-50'!E47</f>
        <v>19555.275000000001</v>
      </c>
      <c r="F78" s="34">
        <f>+'OLD Tables 44-50'!J17+'OLD Tables 44-50'!F47</f>
        <v>2188.6833333333334</v>
      </c>
      <c r="G78" s="12">
        <f>+'OLD Tables 44-50'!L17+'OLD Tables 44-50'!G47</f>
        <v>0</v>
      </c>
      <c r="H78" s="125">
        <f>+'OLD Tables 44-50'!N17+'OLD Tables 44-50'!H47</f>
        <v>97522.916666666672</v>
      </c>
    </row>
    <row r="79" spans="1:8" ht="15" customHeight="1">
      <c r="A79" s="1" t="s">
        <v>426</v>
      </c>
      <c r="B79" s="34">
        <f>+'OLD Tables 44-50'!B18+'OLD Tables 44-50'!B48</f>
        <v>28341.345833333333</v>
      </c>
      <c r="C79" s="34">
        <f>+'OLD Tables 44-50'!D18+'OLD Tables 44-50'!C48</f>
        <v>29832.194444444445</v>
      </c>
      <c r="D79" s="34">
        <f>+'OLD Tables 44-50'!F18+'OLD Tables 44-50'!D48</f>
        <v>28672.224999999999</v>
      </c>
      <c r="E79" s="34">
        <f>+'OLD Tables 44-50'!H18+'OLD Tables 44-50'!E48</f>
        <v>32288.325000000004</v>
      </c>
      <c r="F79" s="34">
        <f>+'OLD Tables 44-50'!J18+'OLD Tables 44-50'!F48</f>
        <v>0</v>
      </c>
      <c r="G79" s="12">
        <f>+'OLD Tables 44-50'!L18+'OLD Tables 44-50'!G48</f>
        <v>0</v>
      </c>
      <c r="H79" s="125">
        <f>+'OLD Tables 44-50'!N18+'OLD Tables 44-50'!H48</f>
        <v>119134.0902777778</v>
      </c>
    </row>
    <row r="80" spans="1:8" ht="15" customHeight="1">
      <c r="A80" s="1" t="s">
        <v>427</v>
      </c>
      <c r="B80" s="34">
        <f>+'OLD Tables 44-50'!B19+'OLD Tables 44-50'!B49</f>
        <v>32196.233333333334</v>
      </c>
      <c r="C80" s="34">
        <f>+'OLD Tables 44-50'!D19+'OLD Tables 44-50'!C49</f>
        <v>10276.025000000001</v>
      </c>
      <c r="D80" s="34">
        <f>+'OLD Tables 44-50'!F19+'OLD Tables 44-50'!D49</f>
        <v>24124.366666666665</v>
      </c>
      <c r="E80" s="34">
        <f>+'OLD Tables 44-50'!H19+'OLD Tables 44-50'!E49</f>
        <v>28064.65</v>
      </c>
      <c r="F80" s="34">
        <f>+'OLD Tables 44-50'!J19+'OLD Tables 44-50'!F49</f>
        <v>0</v>
      </c>
      <c r="G80" s="12">
        <f>+'OLD Tables 44-50'!L19+'OLD Tables 44-50'!G49</f>
        <v>2117.8683333333333</v>
      </c>
      <c r="H80" s="125">
        <f>+'OLD Tables 44-50'!N19+'OLD Tables 44-50'!H49</f>
        <v>96779.143333333326</v>
      </c>
    </row>
    <row r="81" spans="1:13" ht="15" customHeight="1">
      <c r="B81" s="34"/>
      <c r="C81" s="34"/>
      <c r="D81" s="34"/>
      <c r="E81" s="34"/>
      <c r="F81" s="34"/>
      <c r="G81" s="12"/>
      <c r="H81" s="125"/>
    </row>
    <row r="82" spans="1:13" ht="15" customHeight="1">
      <c r="A82" s="1" t="s">
        <v>428</v>
      </c>
      <c r="B82" s="34">
        <f>+'OLD Tables 44-50'!B21+'OLD Tables 44-50'!B51</f>
        <v>28079.316666666666</v>
      </c>
      <c r="C82" s="34">
        <f>+'OLD Tables 44-50'!D21+'OLD Tables 44-50'!C51</f>
        <v>20963.908333333336</v>
      </c>
      <c r="D82" s="34">
        <f>+'OLD Tables 44-50'!F21+'OLD Tables 44-50'!D51</f>
        <v>0</v>
      </c>
      <c r="E82" s="34">
        <f>+'OLD Tables 44-50'!H21+'OLD Tables 44-50'!E51</f>
        <v>8957.9083333333328</v>
      </c>
      <c r="F82" s="34">
        <f>+'OLD Tables 44-50'!J21+'OLD Tables 44-50'!F51</f>
        <v>1979.1583333333333</v>
      </c>
      <c r="G82" s="12">
        <f>+'OLD Tables 44-50'!L21+'OLD Tables 44-50'!G51</f>
        <v>0</v>
      </c>
      <c r="H82" s="125">
        <f>+'OLD Tables 44-50'!N21+'OLD Tables 44-50'!H51</f>
        <v>59980.291666666672</v>
      </c>
    </row>
    <row r="83" spans="1:13" ht="15" customHeight="1">
      <c r="A83" s="1" t="s">
        <v>429</v>
      </c>
      <c r="B83" s="34">
        <f>+'OLD Tables 44-50'!B22+'OLD Tables 44-50'!B52</f>
        <v>52364.26666666667</v>
      </c>
      <c r="C83" s="34">
        <f>+'OLD Tables 44-50'!D22+'OLD Tables 44-50'!C52</f>
        <v>35457.058333333334</v>
      </c>
      <c r="D83" s="34">
        <f>+'OLD Tables 44-50'!F22+'OLD Tables 44-50'!D52</f>
        <v>76423.399999999994</v>
      </c>
      <c r="E83" s="34">
        <f>+'OLD Tables 44-50'!H22+'OLD Tables 44-50'!E52</f>
        <v>6051.75</v>
      </c>
      <c r="F83" s="34">
        <f>+'OLD Tables 44-50'!J22+'OLD Tables 44-50'!F52</f>
        <v>11286.916666666668</v>
      </c>
      <c r="G83" s="12">
        <f>+'OLD Tables 44-50'!L22+'OLD Tables 44-50'!G52</f>
        <v>6120.1916666666666</v>
      </c>
      <c r="H83" s="125">
        <f>+'OLD Tables 44-50'!N22+'OLD Tables 44-50'!H52</f>
        <v>187703.58333333334</v>
      </c>
    </row>
    <row r="84" spans="1:13" ht="15" customHeight="1">
      <c r="A84" s="1" t="s">
        <v>430</v>
      </c>
      <c r="B84" s="34">
        <f>+'OLD Tables 44-50'!B23+'OLD Tables 44-50'!B53</f>
        <v>43029.3</v>
      </c>
      <c r="C84" s="34">
        <f>+'OLD Tables 44-50'!D23+'OLD Tables 44-50'!C53</f>
        <v>0</v>
      </c>
      <c r="D84" s="34">
        <f>+'OLD Tables 44-50'!F23+'OLD Tables 44-50'!D53</f>
        <v>18477.241666666669</v>
      </c>
      <c r="E84" s="34">
        <f>+'OLD Tables 44-50'!H23+'OLD Tables 44-50'!E53</f>
        <v>0</v>
      </c>
      <c r="F84" s="34">
        <f>+'OLD Tables 44-50'!J23+'OLD Tables 44-50'!F53</f>
        <v>19514.733333333334</v>
      </c>
      <c r="G84" s="12">
        <f>+'OLD Tables 44-50'!L23+'OLD Tables 44-50'!G53</f>
        <v>4970.333333333333</v>
      </c>
      <c r="H84" s="125">
        <f>+'OLD Tables 44-50'!N23+'OLD Tables 44-50'!H53</f>
        <v>85991.608333333337</v>
      </c>
    </row>
    <row r="85" spans="1:13" ht="15" customHeight="1">
      <c r="A85" s="1" t="s">
        <v>431</v>
      </c>
      <c r="B85" s="34">
        <f>+'OLD Tables 44-50'!B24+'OLD Tables 44-50'!B54</f>
        <v>40917.258333333331</v>
      </c>
      <c r="C85" s="34">
        <f>+'OLD Tables 44-50'!D24+'OLD Tables 44-50'!C54</f>
        <v>0</v>
      </c>
      <c r="D85" s="34">
        <f>+'OLD Tables 44-50'!F24+'OLD Tables 44-50'!D54</f>
        <v>15757.025000000001</v>
      </c>
      <c r="E85" s="34">
        <f>+'OLD Tables 44-50'!H24+'OLD Tables 44-50'!E54</f>
        <v>3377.7125000000001</v>
      </c>
      <c r="F85" s="34">
        <f>+'OLD Tables 44-50'!J24+'OLD Tables 44-50'!F54</f>
        <v>15522.108333333335</v>
      </c>
      <c r="G85" s="12">
        <f>+'OLD Tables 44-50'!L24+'OLD Tables 44-50'!G54</f>
        <v>10957.116666666667</v>
      </c>
      <c r="H85" s="125">
        <f>+'OLD Tables 44-50'!N24+'OLD Tables 44-50'!H54</f>
        <v>86531.22083333334</v>
      </c>
    </row>
    <row r="86" spans="1:13" ht="15" customHeight="1">
      <c r="B86" s="34"/>
      <c r="C86" s="34"/>
      <c r="D86" s="34"/>
      <c r="E86" s="34"/>
      <c r="F86" s="34"/>
      <c r="G86" s="12"/>
      <c r="H86" s="125"/>
    </row>
    <row r="87" spans="1:13" ht="15" customHeight="1">
      <c r="A87" s="1" t="s">
        <v>432</v>
      </c>
      <c r="B87" s="34">
        <f>+'OLD Tables 44-50'!B26+'OLD Tables 44-50'!B56</f>
        <v>42355.341666666667</v>
      </c>
      <c r="C87" s="34">
        <f>+'OLD Tables 44-50'!D26+'OLD Tables 44-50'!C56</f>
        <v>0</v>
      </c>
      <c r="D87" s="34">
        <f>+'OLD Tables 44-50'!F26+'OLD Tables 44-50'!D56</f>
        <v>56965.191666666673</v>
      </c>
      <c r="E87" s="34">
        <f>+'OLD Tables 44-50'!H26+'OLD Tables 44-50'!E56</f>
        <v>7793.4416666666666</v>
      </c>
      <c r="F87" s="34">
        <f>+'OLD Tables 44-50'!J26+'OLD Tables 44-50'!F56</f>
        <v>6416.8833333333332</v>
      </c>
      <c r="G87" s="12">
        <f>+'OLD Tables 44-50'!L26+'OLD Tables 44-50'!G56</f>
        <v>0</v>
      </c>
      <c r="H87" s="125">
        <f>+'OLD Tables 44-50'!N26+'OLD Tables 44-50'!H56</f>
        <v>113530.85833333334</v>
      </c>
    </row>
    <row r="88" spans="1:13" ht="15" customHeight="1">
      <c r="A88" s="1" t="s">
        <v>433</v>
      </c>
      <c r="B88" s="34">
        <f>+'OLD Tables 44-50'!B27+'OLD Tables 44-50'!B57</f>
        <v>203537.75</v>
      </c>
      <c r="C88" s="34">
        <f>+'OLD Tables 44-50'!D27+'OLD Tables 44-50'!C57</f>
        <v>48050.141666666663</v>
      </c>
      <c r="D88" s="34">
        <f>+'OLD Tables 44-50'!F27+'OLD Tables 44-50'!D57</f>
        <v>151044.57500000001</v>
      </c>
      <c r="E88" s="34">
        <f>+'OLD Tables 44-50'!H27+'OLD Tables 44-50'!E57</f>
        <v>9287.3833333333314</v>
      </c>
      <c r="F88" s="34">
        <f>+'OLD Tables 44-50'!J27+'OLD Tables 44-50'!F57</f>
        <v>9236.6166666666668</v>
      </c>
      <c r="G88" s="12">
        <f>+'OLD Tables 44-50'!L27+'OLD Tables 44-50'!G57</f>
        <v>1517.0333333333333</v>
      </c>
      <c r="H88" s="125">
        <f>+'OLD Tables 44-50'!N27+'OLD Tables 44-50'!H57</f>
        <v>422673.5</v>
      </c>
    </row>
    <row r="89" spans="1:13" ht="15" customHeight="1">
      <c r="A89" s="1" t="s">
        <v>434</v>
      </c>
      <c r="B89" s="34">
        <f>+'OLD Tables 44-50'!B28+'OLD Tables 44-50'!B58</f>
        <v>94535.499999999985</v>
      </c>
      <c r="C89" s="34">
        <f>+'OLD Tables 44-50'!D28+'OLD Tables 44-50'!C58</f>
        <v>34070.65833333334</v>
      </c>
      <c r="D89" s="34">
        <f>+'OLD Tables 44-50'!F28+'OLD Tables 44-50'!D58</f>
        <v>23207.899999999998</v>
      </c>
      <c r="E89" s="34">
        <f>+'OLD Tables 44-50'!H28+'OLD Tables 44-50'!E58</f>
        <v>13338.466666666665</v>
      </c>
      <c r="F89" s="34">
        <f>+'OLD Tables 44-50'!J28+'OLD Tables 44-50'!F58</f>
        <v>13424.583333333332</v>
      </c>
      <c r="G89" s="12">
        <f>+'OLD Tables 44-50'!L28+'OLD Tables 44-50'!G58</f>
        <v>1624.3</v>
      </c>
      <c r="H89" s="125">
        <f>+'OLD Tables 44-50'!N28+'OLD Tables 44-50'!H58</f>
        <v>180201.4083333333</v>
      </c>
    </row>
    <row r="90" spans="1:13" ht="15" customHeight="1">
      <c r="A90" s="3" t="s">
        <v>435</v>
      </c>
      <c r="B90" s="13">
        <f>+'OLD Tables 44-50'!B29+'OLD Tables 44-50'!B59</f>
        <v>25898.674999999999</v>
      </c>
      <c r="C90" s="13">
        <f>+'OLD Tables 44-50'!D29+'OLD Tables 44-50'!C59</f>
        <v>0</v>
      </c>
      <c r="D90" s="13">
        <f>+'OLD Tables 44-50'!F29+'OLD Tables 44-50'!D59</f>
        <v>10830.358333333334</v>
      </c>
      <c r="E90" s="13">
        <f>+'OLD Tables 44-50'!H29+'OLD Tables 44-50'!E59</f>
        <v>0</v>
      </c>
      <c r="F90" s="13">
        <f>+'OLD Tables 44-50'!J29+'OLD Tables 44-50'!F59</f>
        <v>4046.583333333333</v>
      </c>
      <c r="G90" s="14">
        <f>+'OLD Tables 44-50'!L29+'OLD Tables 44-50'!G59</f>
        <v>15041.286666666667</v>
      </c>
      <c r="H90" s="126">
        <f>+'OLD Tables 44-50'!N29+'OLD Tables 44-50'!H59</f>
        <v>55816.903333333335</v>
      </c>
    </row>
    <row r="91" spans="1:13" s="25" customFormat="1" ht="9.9499999999999993" customHeight="1">
      <c r="A91" s="77"/>
      <c r="B91" s="16"/>
      <c r="C91" s="16"/>
      <c r="D91" s="16"/>
      <c r="E91" s="16"/>
      <c r="F91" s="16"/>
      <c r="G91" s="16"/>
      <c r="H91" s="121"/>
      <c r="I91" s="15"/>
      <c r="J91" s="115"/>
      <c r="K91" s="115"/>
      <c r="L91" s="115"/>
      <c r="M91" s="115"/>
    </row>
    <row r="92" spans="1:13" ht="51.75" customHeight="1">
      <c r="A92" s="785" t="s">
        <v>79</v>
      </c>
      <c r="B92" s="786"/>
      <c r="C92" s="786"/>
      <c r="D92" s="786"/>
      <c r="E92" s="786"/>
      <c r="F92" s="786"/>
      <c r="G92" s="786"/>
      <c r="H92" s="786"/>
    </row>
    <row r="93" spans="1:13">
      <c r="A93" s="50"/>
      <c r="B93" s="51"/>
      <c r="C93" s="51"/>
      <c r="D93" s="51"/>
      <c r="E93" s="51"/>
      <c r="F93" s="51"/>
      <c r="G93" s="51"/>
      <c r="H93" s="307" t="s">
        <v>876</v>
      </c>
    </row>
    <row r="94" spans="1:13" ht="18">
      <c r="A94" s="791" t="s">
        <v>975</v>
      </c>
      <c r="B94" s="791"/>
      <c r="C94" s="791"/>
      <c r="D94" s="791"/>
      <c r="E94" s="791"/>
      <c r="F94" s="791"/>
      <c r="G94" s="791"/>
      <c r="H94" s="791"/>
      <c r="I94" s="791"/>
      <c r="J94" s="791"/>
      <c r="K94" s="659"/>
      <c r="L94" s="659"/>
      <c r="M94" s="316"/>
    </row>
    <row r="95" spans="1:13" ht="15.75">
      <c r="A95" s="21"/>
      <c r="B95" s="21"/>
      <c r="C95" s="21"/>
      <c r="D95" s="21"/>
      <c r="E95" s="21"/>
      <c r="F95" s="21"/>
      <c r="G95" s="21"/>
      <c r="H95" s="117"/>
      <c r="I95" s="21"/>
      <c r="J95" s="117"/>
      <c r="K95" s="117"/>
      <c r="L95" s="117"/>
      <c r="M95" s="343"/>
    </row>
    <row r="96" spans="1:13" ht="15.75">
      <c r="A96" s="792" t="s">
        <v>386</v>
      </c>
      <c r="B96" s="792"/>
      <c r="C96" s="792"/>
      <c r="D96" s="792"/>
      <c r="E96" s="792"/>
      <c r="F96" s="792"/>
      <c r="G96" s="792"/>
      <c r="H96" s="792"/>
      <c r="I96" s="792"/>
      <c r="J96" s="792"/>
      <c r="K96" s="660"/>
      <c r="L96" s="660"/>
      <c r="M96" s="344"/>
    </row>
    <row r="97" spans="1:13" ht="15.75">
      <c r="A97" s="792" t="s">
        <v>964</v>
      </c>
      <c r="B97" s="792"/>
      <c r="C97" s="792"/>
      <c r="D97" s="792"/>
      <c r="E97" s="792"/>
      <c r="F97" s="792"/>
      <c r="G97" s="792"/>
      <c r="H97" s="792"/>
      <c r="I97" s="792"/>
      <c r="J97" s="792"/>
      <c r="K97" s="660"/>
      <c r="L97" s="660"/>
      <c r="M97" s="344"/>
    </row>
    <row r="98" spans="1:13">
      <c r="B98" s="2"/>
      <c r="C98" s="2"/>
      <c r="D98" s="2"/>
      <c r="E98" s="2"/>
      <c r="F98" s="2"/>
      <c r="G98" s="2"/>
      <c r="H98" s="119"/>
      <c r="I98" s="2"/>
      <c r="J98" s="119"/>
      <c r="K98" s="119"/>
      <c r="L98" s="119"/>
      <c r="M98" s="336"/>
    </row>
    <row r="99" spans="1:13" ht="15" customHeight="1">
      <c r="A99" s="45"/>
      <c r="B99" s="57" t="s">
        <v>419</v>
      </c>
      <c r="C99" s="57"/>
      <c r="D99" s="27"/>
      <c r="E99" s="27"/>
      <c r="F99" s="28"/>
      <c r="G99" s="58" t="s">
        <v>397</v>
      </c>
      <c r="H99" s="103"/>
      <c r="I99" s="30"/>
      <c r="J99" s="104"/>
      <c r="K99" s="308" t="s">
        <v>380</v>
      </c>
      <c r="L99" s="391"/>
      <c r="M99" s="308"/>
    </row>
    <row r="100" spans="1:13" ht="24">
      <c r="A100" s="46"/>
      <c r="B100" s="59" t="s">
        <v>501</v>
      </c>
      <c r="C100" s="47">
        <v>1</v>
      </c>
      <c r="D100" s="47">
        <v>2</v>
      </c>
      <c r="E100" s="47">
        <v>3</v>
      </c>
      <c r="F100" s="60" t="s">
        <v>382</v>
      </c>
      <c r="G100" s="61">
        <v>1</v>
      </c>
      <c r="H100" s="106">
        <v>2</v>
      </c>
      <c r="I100" s="59" t="s">
        <v>379</v>
      </c>
      <c r="J100" s="105" t="s">
        <v>382</v>
      </c>
      <c r="K100" s="135"/>
      <c r="L100" s="135"/>
      <c r="M100" s="135"/>
    </row>
    <row r="101" spans="1:13" ht="15" customHeight="1">
      <c r="A101" s="1" t="s">
        <v>420</v>
      </c>
      <c r="B101" s="5">
        <f>+GETPIVOTDATA("Undergrad Student Credit Hour  FTE - Old",'FTE Pivot for regular counts'!$A$2,"Category","7","Category2","Two-Year")</f>
        <v>110544.33333333334</v>
      </c>
      <c r="C101" s="15">
        <f>+GETPIVOTDATA("Undergrad Student Credit Hour  FTE - Old",'FTE Pivot for regular counts'!$A$2,"Category","8","Category2","Two-Year")</f>
        <v>821062.73266666685</v>
      </c>
      <c r="D101" s="5">
        <f>+GETPIVOTDATA("Undergrad Student Credit Hour  FTE - Old",'FTE Pivot for regular counts'!$A$2,"Category","9","Category2","Two-Year")</f>
        <v>497765.71166666667</v>
      </c>
      <c r="E101" s="5">
        <f>+GETPIVOTDATA("Undergrad Student Credit Hour  FTE - Old",'FTE Pivot for regular counts'!$A$2,"Category","10","Category2","Two-Year")</f>
        <v>144343.4996666667</v>
      </c>
      <c r="F101" s="23">
        <f>+GETPIVOTDATA("Undergrad Student Credit Hour  FTE - Old",'FTE Pivot for regular counts'!$A$2,"Category2","Two-Year")</f>
        <v>1573716.2773333332</v>
      </c>
      <c r="G101" s="18">
        <f>+GETPIVOTDATA("Undergrad Student Credit Hour  FTE - Old",'FTE Pivot for regular counts'!$A$2,"Category","12","Category2","Technical")</f>
        <v>75911.724444444451</v>
      </c>
      <c r="H101" s="115">
        <f>+GETPIVOTDATA("Undergrad Student Credit Hour  FTE - Old",'FTE Pivot for regular counts'!$A$2,"Category","13","Category2","Technical")</f>
        <v>4929.4944444444445</v>
      </c>
      <c r="I101" s="15">
        <f>+GETPIVOTDATA("Undergrad Student Credit Hour  FTE - Old",'FTE Pivot for regular counts'!$A$2,"Category",14,"Category2","Technical")</f>
        <v>14085.35</v>
      </c>
      <c r="J101" s="4">
        <f>+GETPIVOTDATA("Undergrad Student Credit Hour  FTE - Old",'FTE Pivot for regular counts'!$A$2,"Category2","Technical")</f>
        <v>94926.568888888898</v>
      </c>
    </row>
    <row r="102" spans="1:13" ht="15" customHeight="1">
      <c r="B102" s="5"/>
      <c r="C102" s="15"/>
      <c r="D102" s="5"/>
      <c r="E102" s="5"/>
      <c r="F102" s="23"/>
      <c r="G102" s="18"/>
      <c r="H102" s="115"/>
      <c r="I102" s="15"/>
    </row>
    <row r="103" spans="1:13" ht="15" customHeight="1">
      <c r="A103" s="1" t="s">
        <v>421</v>
      </c>
      <c r="B103" s="5">
        <f>+GETPIVOTDATA("Undergrad Student Credit Hour  FTE - Old",'FTE Pivot for regular counts'!$A$2,"State","AL","Category","7","Category2","Two-Year")</f>
        <v>0</v>
      </c>
      <c r="C103" s="15">
        <f>+GETPIVOTDATA("Undergrad Student Credit Hour  FTE - Old",'FTE Pivot for regular counts'!$A$2,"State","AL","Category","8","Category2","Two-Year")</f>
        <v>12510.366666666665</v>
      </c>
      <c r="D103" s="5">
        <f>+GETPIVOTDATA("Undergrad Student Credit Hour  FTE - Old",'FTE Pivot for regular counts'!$A$2,"State","AL","Category","9","Category2","Two-Year")</f>
        <v>35622.333333333336</v>
      </c>
      <c r="E103" s="5">
        <f>+GETPIVOTDATA("Undergrad Student Credit Hour  FTE - Old",'FTE Pivot for regular counts'!$A$2,"State","AL","Category","10","Category2","Two-Year")</f>
        <v>14533.866666666669</v>
      </c>
      <c r="F103" s="23">
        <f>+GETPIVOTDATA("Undergrad Student Credit Hour  FTE - Old",'FTE Pivot for regular counts'!$A$2,"State","AL","Category2","Two-Year")</f>
        <v>62666.566666666666</v>
      </c>
      <c r="G103" s="18">
        <f>+GETPIVOTDATA("Undergrad Student Credit Hour  FTE - Old",'FTE Pivot for regular counts'!$A$2,"State","AL","Category","12","Category2","Technical")</f>
        <v>1225.2666666666667</v>
      </c>
      <c r="H103" s="115">
        <f>+GETPIVOTDATA("Undergrad Student Credit Hour  FTE - Old",'FTE Pivot for regular counts'!$A$2,"State","AL","Category","13","Category2","Technical")</f>
        <v>1885.5</v>
      </c>
      <c r="I103" s="15">
        <f>+GETPIVOTDATA("Undergrad Student Credit Hour  FTE - Old",'FTE Pivot for regular counts'!$A$2,"State","AL","Category",14,"Category2","Technical")</f>
        <v>0</v>
      </c>
      <c r="J103" s="4">
        <f>+GETPIVOTDATA("Undergrad Student Credit Hour  FTE - Old",'FTE Pivot for regular counts'!$A$2,"State","AL","Category2","Technical")</f>
        <v>3110.7666666666664</v>
      </c>
    </row>
    <row r="104" spans="1:13" ht="15" customHeight="1">
      <c r="A104" s="4" t="s">
        <v>422</v>
      </c>
      <c r="B104" s="15">
        <f>+GETPIVOTDATA("Undergrad Student Credit Hour  FTE - Old",'FTE Pivot for regular counts'!$A$2,"State","AR","Category","7","Category2","Two-Year")</f>
        <v>0</v>
      </c>
      <c r="C104" s="15">
        <f>+GETPIVOTDATA("Undergrad Student Credit Hour  FTE - Old",'FTE Pivot for regular counts'!$A$2,"State","AR","Category","8","Category2","Two-Year")</f>
        <v>6341.166666666667</v>
      </c>
      <c r="D104" s="15">
        <f>+GETPIVOTDATA("Undergrad Student Credit Hour  FTE - Old",'FTE Pivot for regular counts'!$A$2,"State","AR","Category","9","Category2","Two-Year")</f>
        <v>7718.1666666666661</v>
      </c>
      <c r="E104" s="15">
        <f>+GETPIVOTDATA("Undergrad Student Credit Hour  FTE - Old",'FTE Pivot for regular counts'!$A$2,"State","AR","Category","10","Category2","Two-Year")</f>
        <v>22681.599999999999</v>
      </c>
      <c r="F104" s="23">
        <f>+GETPIVOTDATA("Undergrad Student Credit Hour  FTE - Old",'FTE Pivot for regular counts'!$A$2,"State","AR","Category2","Two-Year")</f>
        <v>36740.933333333334</v>
      </c>
      <c r="G104" s="18">
        <f>+GETPIVOTDATA("Undergrad Student Credit Hour  FTE - Old",'FTE Pivot for regular counts'!$A$2,"State","AR","Category","12","Category2","Technical")</f>
        <v>0</v>
      </c>
      <c r="H104" s="115">
        <f>+GETPIVOTDATA("Undergrad Student Credit Hour  FTE - Old",'FTE Pivot for regular counts'!$A$2,"State","AR","Category","13","Category2","Technical")</f>
        <v>0</v>
      </c>
      <c r="I104" s="15">
        <f>+GETPIVOTDATA("Undergrad Student Credit Hour  FTE - Old",'FTE Pivot for regular counts'!$A$2,"State","AR","Category",14,"Category2","Technical")</f>
        <v>0</v>
      </c>
      <c r="J104" s="74">
        <f>+GETPIVOTDATA("Undergrad Student Credit Hour  FTE - Old",'FTE Pivot for regular counts'!$A$2,"State","AR","Category2","Technical")</f>
        <v>0</v>
      </c>
      <c r="K104" s="74"/>
      <c r="L104" s="74"/>
    </row>
    <row r="105" spans="1:13" ht="15" customHeight="1">
      <c r="A105" s="1" t="s">
        <v>459</v>
      </c>
      <c r="B105" s="15">
        <f>+GETPIVOTDATA("Undergrad Student Credit Hour  FTE - Old",'FTE Pivot for regular counts'!$A$2,"State","DE","Category","7","Category2","Two-Year")</f>
        <v>0</v>
      </c>
      <c r="C105" s="15">
        <f>+GETPIVOTDATA("Undergrad Student Credit Hour  FTE - Old",'FTE Pivot for regular counts'!$A$2,"State","DE","Category","8","Category2","Two-Year")</f>
        <v>0</v>
      </c>
      <c r="D105" s="15">
        <f>+GETPIVOTDATA("Undergrad Student Credit Hour  FTE - Old",'FTE Pivot for regular counts'!$A$2,"State","DE","Category","9","Category2","Two-Year")</f>
        <v>9642.5666666666657</v>
      </c>
      <c r="E105" s="15">
        <f>+GETPIVOTDATA("Undergrad Student Credit Hour  FTE - Old",'FTE Pivot for regular counts'!$A$2,"State","DE","Category","10","Category2","Two-Year")</f>
        <v>0</v>
      </c>
      <c r="F105" s="23">
        <f>+GETPIVOTDATA("Undergrad Student Credit Hour  FTE - Old",'FTE Pivot for regular counts'!$A$2,"State","DE","Category2","Two-Year")</f>
        <v>9642.5666666666657</v>
      </c>
      <c r="G105" s="18">
        <f>+GETPIVOTDATA("Undergrad Student Credit Hour  FTE - Old",'FTE Pivot for regular counts'!$A$2,"State","DE","Category","12","Category2","Technical")</f>
        <v>0</v>
      </c>
      <c r="H105" s="115">
        <f>+GETPIVOTDATA("Undergrad Student Credit Hour  FTE - Old",'FTE Pivot for regular counts'!$A$2,"State","DE","Category","13","Category2","Technical")</f>
        <v>0</v>
      </c>
      <c r="I105" s="15">
        <f>+GETPIVOTDATA("Undergrad Student Credit Hour  FTE - Old",'FTE Pivot for regular counts'!$A$2,"State","DE","Category",14,"Category2","Technical")</f>
        <v>0</v>
      </c>
      <c r="J105" s="74">
        <f>+GETPIVOTDATA("Undergrad Student Credit Hour  FTE - Old",'FTE Pivot for regular counts'!$A$2,"State","DE","Category2","Technical")</f>
        <v>0</v>
      </c>
      <c r="K105" s="74"/>
      <c r="L105" s="74"/>
    </row>
    <row r="106" spans="1:13" ht="15" customHeight="1">
      <c r="A106" s="1" t="s">
        <v>423</v>
      </c>
      <c r="B106" s="15">
        <f>+GETPIVOTDATA("Undergrad Student Credit Hour  FTE - Old",'FTE Pivot for regular counts'!$A$2,"State","FL","Category","7","Category2","Two-Year")</f>
        <v>79179.433333333334</v>
      </c>
      <c r="C106" s="15">
        <f>+GETPIVOTDATA("Undergrad Student Credit Hour  FTE - Old",'FTE Pivot for regular counts'!$A$2,"State","FL","Category","8","Category2","Two-Year")</f>
        <v>179530.69999999998</v>
      </c>
      <c r="D106" s="15">
        <f>+GETPIVOTDATA("Undergrad Student Credit Hour  FTE - Old",'FTE Pivot for regular counts'!$A$2,"State","FL","Category","9","Category2","Two-Year")</f>
        <v>18222.366666666669</v>
      </c>
      <c r="E106" s="15">
        <f>+GETPIVOTDATA("Undergrad Student Credit Hour  FTE - Old",'FTE Pivot for regular counts'!$A$2,"State","FL","Category","10","Category2","Two-Year")</f>
        <v>1549.8000000000002</v>
      </c>
      <c r="F106" s="23">
        <f>+GETPIVOTDATA("Undergrad Student Credit Hour  FTE - Old",'FTE Pivot for regular counts'!$A$2,"State","FL","Category2","Two-Year")</f>
        <v>278482.3</v>
      </c>
      <c r="G106" s="18">
        <f>+GETPIVOTDATA("Undergrad Student Credit Hour  FTE - Old",'FTE Pivot for regular counts'!$A$2,"State","FL","Category","12","Category2","Technical")</f>
        <v>0</v>
      </c>
      <c r="H106" s="115">
        <f>+GETPIVOTDATA("Undergrad Student Credit Hour  FTE - Old",'FTE Pivot for regular counts'!$A$2,"State","FL","Category","13","Category2","Technical")</f>
        <v>0</v>
      </c>
      <c r="I106" s="15">
        <f>+GETPIVOTDATA("Undergrad Student Credit Hour  FTE - Old",'FTE Pivot for regular counts'!$A$2,"State","FL","Category",14,"Category2","Technical")</f>
        <v>0</v>
      </c>
      <c r="J106" s="74">
        <f>+GETPIVOTDATA("Undergrad Student Credit Hour  FTE - Old",'FTE Pivot for regular counts'!$A$2,"State","FL","Category2","Technical")</f>
        <v>0</v>
      </c>
      <c r="K106" s="74"/>
      <c r="L106" s="74"/>
    </row>
    <row r="107" spans="1:13" ht="15" customHeight="1">
      <c r="B107" s="15"/>
      <c r="C107" s="15"/>
      <c r="D107" s="15"/>
      <c r="E107" s="15"/>
      <c r="F107" s="23"/>
      <c r="G107" s="18"/>
      <c r="H107" s="115"/>
      <c r="I107" s="15"/>
      <c r="J107" s="74"/>
      <c r="K107" s="74"/>
      <c r="L107" s="74"/>
    </row>
    <row r="108" spans="1:13" ht="15" customHeight="1">
      <c r="A108" s="1" t="s">
        <v>424</v>
      </c>
      <c r="B108" s="15">
        <f>+GETPIVOTDATA("Undergrad Student Credit Hour  FTE - Old",'FTE Pivot for regular counts'!$A$2,"State","GA","Category","7","Category2","Two-Year")</f>
        <v>3503.7333333333331</v>
      </c>
      <c r="C108" s="15">
        <f>+GETPIVOTDATA("Undergrad Student Credit Hour  FTE - Old",'FTE Pivot for regular counts'!$A$2,"State","GA","Category","8","Category2","Two-Year")</f>
        <v>16582.099999999999</v>
      </c>
      <c r="D108" s="15">
        <f>+GETPIVOTDATA("Undergrad Student Credit Hour  FTE - Old",'FTE Pivot for regular counts'!$A$2,"State","GA","Category","9","Category2","Two-Year")</f>
        <v>26468.216666666671</v>
      </c>
      <c r="E108" s="15">
        <f>+GETPIVOTDATA("Undergrad Student Credit Hour  FTE - Old",'FTE Pivot for regular counts'!$A$2,"State","GA","Category","10","Category2","Two-Year")</f>
        <v>5904.4333333333334</v>
      </c>
      <c r="F108" s="23">
        <f>+GETPIVOTDATA("Undergrad Student Credit Hour  FTE - Old",'FTE Pivot for regular counts'!$A$2,"State","GA","Category2","Two-Year")</f>
        <v>52458.483333333337</v>
      </c>
      <c r="G108" s="18">
        <f>+GETPIVOTDATA("Undergrad Student Credit Hour  FTE - Old",'FTE Pivot for regular counts'!$A$2,"State","GA","Category","12","Category2","Technical")</f>
        <v>70299.157777777786</v>
      </c>
      <c r="H108" s="115">
        <f>+GETPIVOTDATA("Undergrad Student Credit Hour  FTE - Old",'FTE Pivot for regular counts'!$A$2,"State","GA","Category","13","Category2","Technical")</f>
        <v>2122.7777777777778</v>
      </c>
      <c r="I108" s="15">
        <f>+GETPIVOTDATA("Undergrad Student Credit Hour  FTE - Old",'FTE Pivot for regular counts'!$A$2,"State","GA","Category",14,"Category2","Technical")</f>
        <v>0</v>
      </c>
      <c r="J108" s="74">
        <f>+GETPIVOTDATA("Undergrad Student Credit Hour  FTE - Old",'FTE Pivot for regular counts'!$A$2,"State","GA","Category2","Technical")</f>
        <v>72421.935555555567</v>
      </c>
      <c r="K108" s="74"/>
      <c r="L108" s="74"/>
    </row>
    <row r="109" spans="1:13" ht="15" customHeight="1">
      <c r="A109" s="1" t="s">
        <v>425</v>
      </c>
      <c r="B109" s="15">
        <f>+GETPIVOTDATA("Undergrad Student Credit Hour  FTE - Old",'FTE Pivot for regular counts'!$A$2,"State","KY","Category","7","Category2","Two-Year")</f>
        <v>0</v>
      </c>
      <c r="C109" s="15">
        <f>+GETPIVOTDATA("Undergrad Student Credit Hour  FTE - Old",'FTE Pivot for regular counts'!$A$2,"State","KY","Category","8","Category2","Two-Year")</f>
        <v>15828.433333333334</v>
      </c>
      <c r="D109" s="15">
        <f>+GETPIVOTDATA("Undergrad Student Credit Hour  FTE - Old",'FTE Pivot for regular counts'!$A$2,"State","KY","Category","9","Category2","Two-Year")</f>
        <v>24056.033333333333</v>
      </c>
      <c r="E109" s="15">
        <f>+GETPIVOTDATA("Undergrad Student Credit Hour  FTE - Old",'FTE Pivot for regular counts'!$A$2,"State","KY","Category","10","Category2","Two-Year")</f>
        <v>4960</v>
      </c>
      <c r="F109" s="23">
        <f>+GETPIVOTDATA("Undergrad Student Credit Hour  FTE - Old",'FTE Pivot for regular counts'!$A$2,"State","KY","Category2","Two-Year")</f>
        <v>44844.466666666667</v>
      </c>
      <c r="G109" s="18">
        <f>+GETPIVOTDATA("Undergrad Student Credit Hour  FTE - Old",'FTE Pivot for regular counts'!$A$2,"State","KY","Category","12","Category2","Technical")</f>
        <v>2928.8666666666668</v>
      </c>
      <c r="H109" s="115">
        <f>+GETPIVOTDATA("Undergrad Student Credit Hour  FTE - Old",'FTE Pivot for regular counts'!$A$2,"State","KY","Category","13","Category2","Technical")</f>
        <v>0</v>
      </c>
      <c r="I109" s="15">
        <f>+GETPIVOTDATA("Undergrad Student Credit Hour  FTE - Old",'FTE Pivot for regular counts'!$A$2,"State","KY","Category",14,"Category2","Technical")</f>
        <v>0</v>
      </c>
      <c r="J109" s="74">
        <f>+GETPIVOTDATA("Undergrad Student Credit Hour  FTE - Old",'FTE Pivot for regular counts'!$A$2,"State","KY","Category2","Technical")</f>
        <v>2928.8666666666668</v>
      </c>
      <c r="K109" s="74"/>
      <c r="L109" s="74"/>
    </row>
    <row r="110" spans="1:13" ht="15" customHeight="1">
      <c r="A110" s="1" t="s">
        <v>426</v>
      </c>
      <c r="B110" s="15">
        <f>+GETPIVOTDATA("Undergrad Student Credit Hour  FTE - Old",'FTE Pivot for regular counts'!$A$2,"State","LA","Category","7","Category2","Two-Year")</f>
        <v>1937.5333333333333</v>
      </c>
      <c r="C110" s="15">
        <f>+GETPIVOTDATA("Undergrad Student Credit Hour  FTE - Old",'FTE Pivot for regular counts'!$A$2,"State","LA","Category","8","Category2","Two-Year")</f>
        <v>9691.4666666666672</v>
      </c>
      <c r="D110" s="15">
        <f>+GETPIVOTDATA("Undergrad Student Credit Hour  FTE - Old",'FTE Pivot for regular counts'!$A$2,"State","LA","Category","9","Category2","Two-Year")</f>
        <v>10613</v>
      </c>
      <c r="E110" s="15">
        <f>+GETPIVOTDATA("Undergrad Student Credit Hour  FTE - Old",'FTE Pivot for regular counts'!$A$2,"State","LA","Category","10","Category2","Two-Year")</f>
        <v>6680.4</v>
      </c>
      <c r="F110" s="23">
        <f>+GETPIVOTDATA("Undergrad Student Credit Hour  FTE - Old",'FTE Pivot for regular counts'!$A$2,"State","LA","Category2","Two-Year")</f>
        <v>28922.400000000001</v>
      </c>
      <c r="G110" s="18">
        <f>+GETPIVOTDATA("Undergrad Student Credit Hour  FTE - Old",'FTE Pivot for regular counts'!$A$2,"State","LA","Category","12","Category2","Technical")</f>
        <v>1458.4333333333334</v>
      </c>
      <c r="H110" s="115">
        <f>+GETPIVOTDATA("Undergrad Student Credit Hour  FTE - Old",'FTE Pivot for regular counts'!$A$2,"State","LA","Category","13","Category2","Technical")</f>
        <v>921.2166666666667</v>
      </c>
      <c r="I110" s="1">
        <f>+GETPIVOTDATA("Undergrad Student Credit Hour  FTE - Old",'FTE Pivot for regular counts'!$A$2,"State","LA","Category",14,"Category2","Technical")</f>
        <v>14085.35</v>
      </c>
      <c r="J110" s="74">
        <f>+GETPIVOTDATA("Undergrad Student Credit Hour  FTE - Old",'FTE Pivot for regular counts'!$A$2,"State","LA","Category2","Technical")</f>
        <v>16465</v>
      </c>
      <c r="K110" s="74"/>
      <c r="L110" s="74"/>
    </row>
    <row r="111" spans="1:13" ht="15" customHeight="1">
      <c r="A111" s="1" t="s">
        <v>427</v>
      </c>
      <c r="B111" s="15">
        <f>+GETPIVOTDATA("Undergrad Student Credit Hour  FTE - Old",'FTE Pivot for regular counts'!$A$2,"State","MD","Category","7","Category2","Two-Year")</f>
        <v>0</v>
      </c>
      <c r="C111" s="15">
        <f>+GETPIVOTDATA("Undergrad Student Credit Hour  FTE - Old",'FTE Pivot for regular counts'!$A$2,"State","MD","Category","8","Category2","Two-Year")</f>
        <v>47629.51666666667</v>
      </c>
      <c r="D111" s="15">
        <f>+GETPIVOTDATA("Undergrad Student Credit Hour  FTE - Old",'FTE Pivot for regular counts'!$A$2,"State","MD","Category","9","Category2","Two-Year")</f>
        <v>26577.733333333334</v>
      </c>
      <c r="E111" s="15">
        <f>+GETPIVOTDATA("Undergrad Student Credit Hour  FTE - Old",'FTE Pivot for regular counts'!$A$2,"State","MD","Category","10","Category2","Two-Year")</f>
        <v>8075.9833333333336</v>
      </c>
      <c r="F111" s="23">
        <f>+GETPIVOTDATA("Undergrad Student Credit Hour  FTE - Old",'FTE Pivot for regular counts'!$A$2,"State","MD","Category2","Two-Year")</f>
        <v>82283.233333333337</v>
      </c>
      <c r="G111" s="18">
        <f>+GETPIVOTDATA("Undergrad Student Credit Hour  FTE - Old",'FTE Pivot for regular counts'!$A$2,"State","MD","Category","12","Category2","Technical")</f>
        <v>0</v>
      </c>
      <c r="H111" s="115">
        <f>+GETPIVOTDATA("Undergrad Student Credit Hour  FTE - Old",'FTE Pivot for regular counts'!$A$2,"State","MD","Category","13","Category2","Technical")</f>
        <v>0</v>
      </c>
      <c r="I111" s="15">
        <f>+GETPIVOTDATA("Undergrad Student Credit Hour  FTE - Old",'FTE Pivot for regular counts'!$A$2,"State","MD","Category",14,"Category2","Technical")</f>
        <v>0</v>
      </c>
      <c r="J111" s="74">
        <f>+GETPIVOTDATA("Undergrad Student Credit Hour  FTE - Old",'FTE Pivot for regular counts'!$A$2,"State","MD","Category2","Technical")</f>
        <v>0</v>
      </c>
      <c r="K111" s="74"/>
      <c r="L111" s="74"/>
    </row>
    <row r="112" spans="1:13" ht="15" customHeight="1">
      <c r="B112" s="15"/>
      <c r="C112" s="15"/>
      <c r="D112" s="15"/>
      <c r="E112" s="15"/>
      <c r="F112" s="23"/>
      <c r="G112" s="18"/>
      <c r="H112" s="115"/>
      <c r="I112" s="15"/>
      <c r="J112" s="74"/>
      <c r="K112" s="74"/>
      <c r="L112" s="74"/>
    </row>
    <row r="113" spans="1:13" ht="15" customHeight="1">
      <c r="A113" s="1" t="s">
        <v>428</v>
      </c>
      <c r="B113" s="15">
        <f>+GETPIVOTDATA("Undergrad Student Credit Hour  FTE - Old",'FTE Pivot for regular counts'!$A$2,"State","MS","Category","7","Category2","Two-Year")</f>
        <v>0</v>
      </c>
      <c r="C113" s="15">
        <f>+GETPIVOTDATA("Undergrad Student Credit Hour  FTE - Old",'FTE Pivot for regular counts'!$A$2,"State","MS","Category","8","Category2","Two-Year")</f>
        <v>21342.799999999999</v>
      </c>
      <c r="D113" s="15">
        <f>+GETPIVOTDATA("Undergrad Student Credit Hour  FTE - Old",'FTE Pivot for regular counts'!$A$2,"State","MS","Category","9","Category2","Two-Year")</f>
        <v>34138.933333333334</v>
      </c>
      <c r="E113" s="15">
        <f>+GETPIVOTDATA("Undergrad Student Credit Hour  FTE - Old",'FTE Pivot for regular counts'!$A$2,"State","MS","Category","10","Category2","Two-Year")</f>
        <v>3109.9333333333334</v>
      </c>
      <c r="F113" s="23">
        <f>+GETPIVOTDATA("Undergrad Student Credit Hour  FTE - Old",'FTE Pivot for regular counts'!$A$2,"State","MS","Category2","Two-Year")</f>
        <v>58591.666666666672</v>
      </c>
      <c r="G113" s="18">
        <f>+GETPIVOTDATA("Undergrad Student Credit Hour  FTE - Old",'FTE Pivot for regular counts'!$A$2,"State","MS","Category","12","Category2","Technical")</f>
        <v>0</v>
      </c>
      <c r="H113" s="115">
        <f>+GETPIVOTDATA("Undergrad Student Credit Hour  FTE - Old",'FTE Pivot for regular counts'!$A$2,"State","MS","Category","13","Category2","Technical")</f>
        <v>0</v>
      </c>
      <c r="I113" s="15">
        <f>+GETPIVOTDATA("Undergrad Student Credit Hour  FTE - Old",'FTE Pivot for regular counts'!$A$2,"State","MS","Category",14,"Category2","Technical")</f>
        <v>0</v>
      </c>
      <c r="J113" s="74">
        <f>+GETPIVOTDATA("Undergrad Student Credit Hour  FTE - Old",'FTE Pivot for regular counts'!$A$2,"State","MS","Category2","Technical")</f>
        <v>0</v>
      </c>
      <c r="K113" s="74"/>
      <c r="L113" s="74"/>
    </row>
    <row r="114" spans="1:13" ht="15" customHeight="1">
      <c r="A114" s="1" t="s">
        <v>429</v>
      </c>
      <c r="B114" s="15">
        <f>+GETPIVOTDATA("Undergrad Student Credit Hour  FTE - Old",'FTE Pivot for regular counts'!$A$2,"State","NC","Category","7","Category2","Two-Year")</f>
        <v>0</v>
      </c>
      <c r="C114" s="15">
        <f>+GETPIVOTDATA("Undergrad Student Credit Hour  FTE - Old",'FTE Pivot for regular counts'!$A$2,"State","NC","Category","8","Category2","Two-Year")</f>
        <v>105422</v>
      </c>
      <c r="D114" s="15">
        <f>+GETPIVOTDATA("Undergrad Student Credit Hour  FTE - Old",'FTE Pivot for regular counts'!$A$2,"State","NC","Category","9","Category2","Two-Year")</f>
        <v>107798</v>
      </c>
      <c r="E114" s="15">
        <f>+GETPIVOTDATA("Undergrad Student Credit Hour  FTE - Old",'FTE Pivot for regular counts'!$A$2,"State","NC","Category","10","Category2","Two-Year")</f>
        <v>18517</v>
      </c>
      <c r="F114" s="23">
        <f>+GETPIVOTDATA("Undergrad Student Credit Hour  FTE - Old",'FTE Pivot for regular counts'!$A$2,"State","NC","Category2","Two-Year")</f>
        <v>231737</v>
      </c>
      <c r="G114" s="18">
        <f>+GETPIVOTDATA("Undergrad Student Credit Hour  FTE - Old",'FTE Pivot for regular counts'!$A$2,"State","NC","Category","12","Category2","Technical")</f>
        <v>0</v>
      </c>
      <c r="H114" s="115">
        <f>+GETPIVOTDATA("Undergrad Student Credit Hour  FTE - Old",'FTE Pivot for regular counts'!$A$2,"State","NC","Category","13","Category2","Technical")</f>
        <v>0</v>
      </c>
      <c r="I114" s="15">
        <f>+GETPIVOTDATA("Undergrad Student Credit Hour  FTE - Old",'FTE Pivot for regular counts'!$A$2,"State","NC","Category",14,"Category2","Technical")</f>
        <v>0</v>
      </c>
      <c r="J114" s="74">
        <f>+GETPIVOTDATA("Undergrad Student Credit Hour  FTE - Old",'FTE Pivot for regular counts'!$A$2,"State","NC","Category2","Technical")</f>
        <v>0</v>
      </c>
      <c r="K114" s="74"/>
      <c r="L114" s="74"/>
    </row>
    <row r="115" spans="1:13" ht="15" customHeight="1">
      <c r="A115" s="1" t="s">
        <v>430</v>
      </c>
      <c r="B115" s="15">
        <f>+GETPIVOTDATA("Undergrad Student Credit Hour  FTE - Old",'FTE Pivot for regular counts'!$A$2,"State","OK","Category","7","Category2","Two-Year")</f>
        <v>2935.6</v>
      </c>
      <c r="C115" s="15">
        <f>+GETPIVOTDATA("Undergrad Student Credit Hour  FTE - Old",'FTE Pivot for regular counts'!$A$2,"State","OK","Category","8","Category2","Two-Year")</f>
        <v>19308.033333333333</v>
      </c>
      <c r="D115" s="15">
        <f>+GETPIVOTDATA("Undergrad Student Credit Hour  FTE - Old",'FTE Pivot for regular counts'!$A$2,"State","OK","Category","9","Category2","Two-Year")</f>
        <v>11911.066666666666</v>
      </c>
      <c r="E115" s="15">
        <f>+GETPIVOTDATA("Undergrad Student Credit Hour  FTE - Old",'FTE Pivot for regular counts'!$A$2,"State","OK","Category","10","Category2","Two-Year")</f>
        <v>12074.1</v>
      </c>
      <c r="F115" s="23">
        <f>+GETPIVOTDATA("Undergrad Student Credit Hour  FTE - Old",'FTE Pivot for regular counts'!$A$2,"State","OK","Category2","Two-Year")</f>
        <v>46228.799999999996</v>
      </c>
      <c r="G115" s="18">
        <f>+GETPIVOTDATA("Undergrad Student Credit Hour  FTE - Old",'FTE Pivot for regular counts'!$A$2,"State","OK","Category","12","Category2","Technical")</f>
        <v>0</v>
      </c>
      <c r="H115" s="115">
        <f>+GETPIVOTDATA("Undergrad Student Credit Hour  FTE - Old",'FTE Pivot for regular counts'!$A$2,"State","OK","Category","13","Category2","Technical")</f>
        <v>0</v>
      </c>
      <c r="I115" s="15">
        <f>+GETPIVOTDATA("Undergrad Student Credit Hour  FTE - Old",'FTE Pivot for regular counts'!$A$2,"State","OK","Category",14,"Category2","Technical")</f>
        <v>0</v>
      </c>
      <c r="J115" s="74">
        <f>+GETPIVOTDATA("Undergrad Student Credit Hour  FTE - Old",'FTE Pivot for regular counts'!$A$2,"State","OK","Category2","Technical")</f>
        <v>0</v>
      </c>
      <c r="K115" s="74"/>
      <c r="L115" s="74"/>
    </row>
    <row r="116" spans="1:13" ht="15" customHeight="1">
      <c r="A116" s="1" t="s">
        <v>431</v>
      </c>
      <c r="B116" s="15">
        <f>+GETPIVOTDATA("Undergrad Student Credit Hour  FTE - Old",'FTE Pivot for regular counts'!$A$2,"State","SC","Category","7","Category2","Two-Year")</f>
        <v>0</v>
      </c>
      <c r="C116" s="15">
        <f>+GETPIVOTDATA("Undergrad Student Credit Hour  FTE - Old",'FTE Pivot for regular counts'!$A$2,"State","SC","Category","8","Category2","Two-Year")</f>
        <v>29262.682666666668</v>
      </c>
      <c r="D116" s="15">
        <f>+GETPIVOTDATA("Undergrad Student Credit Hour  FTE - Old",'FTE Pivot for regular counts'!$A$2,"State","SC","Category","9","Category2","Two-Year")</f>
        <v>31398.061666666668</v>
      </c>
      <c r="E116" s="15">
        <f>+GETPIVOTDATA("Undergrad Student Credit Hour  FTE - Old",'FTE Pivot for regular counts'!$A$2,"State","SC","Category","10","Category2","Two-Year")</f>
        <v>6907.3996666666662</v>
      </c>
      <c r="F116" s="23">
        <f>+GETPIVOTDATA("Undergrad Student Credit Hour  FTE - Old",'FTE Pivot for regular counts'!$A$2,"State","SC","Category2","Two-Year")</f>
        <v>67568.144</v>
      </c>
      <c r="G116" s="18">
        <f>+GETPIVOTDATA("Undergrad Student Credit Hour  FTE - Old",'FTE Pivot for regular counts'!$A$2,"State","SC","Category","12","Category2","Technical")</f>
        <v>0</v>
      </c>
      <c r="H116" s="115">
        <f>+GETPIVOTDATA("Undergrad Student Credit Hour  FTE - Old",'FTE Pivot for regular counts'!$A$2,"State","SC","Category","13","Category2","Technical")</f>
        <v>0</v>
      </c>
      <c r="I116" s="15">
        <f>+GETPIVOTDATA("Undergrad Student Credit Hour  FTE - Old",'FTE Pivot for regular counts'!$A$2,"State","SC","Category",14,"Category2","Technical")</f>
        <v>0</v>
      </c>
      <c r="J116" s="74">
        <f>+GETPIVOTDATA("Undergrad Student Credit Hour  FTE - Old",'FTE Pivot for regular counts'!$A$2,"State","SC","Category2","Technical")</f>
        <v>0</v>
      </c>
      <c r="K116" s="74"/>
      <c r="L116" s="74"/>
    </row>
    <row r="117" spans="1:13" ht="15" customHeight="1">
      <c r="B117" s="15"/>
      <c r="C117" s="15"/>
      <c r="D117" s="15"/>
      <c r="E117" s="15"/>
      <c r="F117" s="23"/>
      <c r="G117" s="18"/>
      <c r="H117" s="115"/>
      <c r="I117" s="15"/>
      <c r="J117" s="74"/>
      <c r="K117" s="74"/>
      <c r="L117" s="74"/>
    </row>
    <row r="118" spans="1:13" ht="15" customHeight="1">
      <c r="A118" s="1" t="s">
        <v>432</v>
      </c>
      <c r="B118" s="15">
        <f>+GETPIVOTDATA("Undergrad Student Credit Hour  FTE - Old",'FTE Pivot for regular counts'!$A$2,"State","TN","Category","7","Category2","Two-Year")</f>
        <v>0</v>
      </c>
      <c r="C118" s="15">
        <f>+GETPIVOTDATA("Undergrad Student Credit Hour  FTE - Old",'FTE Pivot for regular counts'!$A$2,"State","TN","Category","8","Category2","Two-Year")</f>
        <v>19253.966666666667</v>
      </c>
      <c r="D118" s="15">
        <f>+GETPIVOTDATA("Undergrad Student Credit Hour  FTE - Old",'FTE Pivot for regular counts'!$A$2,"State","TN","Category","9","Category2","Two-Year")</f>
        <v>32559.833333333332</v>
      </c>
      <c r="E118" s="15">
        <f>+GETPIVOTDATA("Undergrad Student Credit Hour  FTE - Old",'FTE Pivot for regular counts'!$A$2,"State","TN","Category","10","Category2","Two-Year")</f>
        <v>1718.0666666666666</v>
      </c>
      <c r="F118" s="23">
        <f>+GETPIVOTDATA("Undergrad Student Credit Hour  FTE - Old",'FTE Pivot for regular counts'!$A$2,"State","TN","Category2","Two-Year")</f>
        <v>53531.866666666669</v>
      </c>
      <c r="G118" s="18">
        <f>+GETPIVOTDATA("Undergrad Student Credit Hour  FTE - Old",'FTE Pivot for regular counts'!$A$2,"State","TN","Category","12","Category2","Technical")</f>
        <v>0</v>
      </c>
      <c r="H118" s="115">
        <f>+GETPIVOTDATA("Undergrad Student Credit Hour  FTE - Old",'FTE Pivot for regular counts'!$A$2,"State","TN","Category","13","Category2","Technical")</f>
        <v>0</v>
      </c>
      <c r="I118" s="15">
        <f>+GETPIVOTDATA("Undergrad Student Credit Hour  FTE - Old",'FTE Pivot for regular counts'!$A$2,"State","TN","Category",14,"Category2","Technical")</f>
        <v>0</v>
      </c>
      <c r="J118" s="74">
        <f>+GETPIVOTDATA("Undergrad Student Credit Hour  FTE - Old",'FTE Pivot for regular counts'!$A$2,"State","TN","Category2","Technical")</f>
        <v>0</v>
      </c>
      <c r="K118" s="74"/>
      <c r="L118" s="74"/>
    </row>
    <row r="119" spans="1:13" ht="15" customHeight="1">
      <c r="A119" s="1" t="s">
        <v>433</v>
      </c>
      <c r="B119" s="15">
        <f>+GETPIVOTDATA("Undergrad Student Credit Hour  FTE - Old",'FTE Pivot for regular counts'!$A$2,"State","TX","Category","7","Category2","Two-Year")</f>
        <v>18973.400000000001</v>
      </c>
      <c r="C119" s="15">
        <f>+GETPIVOTDATA("Undergrad Student Credit Hour  FTE - Old",'FTE Pivot for regular counts'!$A$2,"State","TX","Category","8","Category2","Two-Year")</f>
        <v>279925.26666666672</v>
      </c>
      <c r="D119" s="15">
        <f>+GETPIVOTDATA("Undergrad Student Credit Hour  FTE - Old",'FTE Pivot for regular counts'!$A$2,"State","TX","Category","9","Category2","Two-Year")</f>
        <v>86420.933333333334</v>
      </c>
      <c r="E119" s="15">
        <f>+GETPIVOTDATA("Undergrad Student Credit Hour  FTE - Old",'FTE Pivot for regular counts'!$A$2,"State","TX","Category","10","Category2","Two-Year")</f>
        <v>13505.766666666665</v>
      </c>
      <c r="F119" s="23">
        <f>+GETPIVOTDATA("Undergrad Student Credit Hour  FTE - Old",'FTE Pivot for regular counts'!$A$2,"State","TX","Category2","Two-Year")</f>
        <v>398825.36666666676</v>
      </c>
      <c r="G119" s="18">
        <f>+GETPIVOTDATA("Undergrad Student Credit Hour  FTE - Old",'FTE Pivot for regular counts'!$A$2,"State","TX","Category","12","Category2","Technical")</f>
        <v>0</v>
      </c>
      <c r="H119" s="115">
        <f>+GETPIVOTDATA("Undergrad Student Credit Hour  FTE - Old",'FTE Pivot for regular counts'!$A$2,"State","TX","Category","13","Category2","Technical")</f>
        <v>0</v>
      </c>
      <c r="I119" s="15">
        <f>+GETPIVOTDATA("Undergrad Student Credit Hour  FTE - Old",'FTE Pivot for regular counts'!$A$2,"State","TX","Category",14,"Category2","Technical")</f>
        <v>0</v>
      </c>
      <c r="J119" s="74">
        <f>+GETPIVOTDATA("Undergrad Student Credit Hour  FTE - Old",'FTE Pivot for regular counts'!$A$2,"State","TX","Category2","Technical")</f>
        <v>0</v>
      </c>
      <c r="K119" s="74"/>
      <c r="L119" s="74"/>
    </row>
    <row r="120" spans="1:13" ht="15" customHeight="1">
      <c r="A120" s="1" t="s">
        <v>434</v>
      </c>
      <c r="B120" s="15">
        <f>+GETPIVOTDATA("Undergrad Student Credit Hour  FTE - Old",'FTE Pivot for regular counts'!$A$2,"State","VA","Category","7","Category2","Two-Year")</f>
        <v>0</v>
      </c>
      <c r="C120" s="15">
        <f>+GETPIVOTDATA("Undergrad Student Credit Hour  FTE - Old",'FTE Pivot for regular counts'!$A$2,"State","VA","Category","8","Category2","Two-Year")</f>
        <v>58434.233333333337</v>
      </c>
      <c r="D120" s="15">
        <f>+GETPIVOTDATA("Undergrad Student Credit Hour  FTE - Old",'FTE Pivot for regular counts'!$A$2,"State","VA","Category","9","Category2","Two-Year")</f>
        <v>34618.466666666667</v>
      </c>
      <c r="E120" s="15">
        <f>+GETPIVOTDATA("Undergrad Student Credit Hour  FTE - Old",'FTE Pivot for regular counts'!$A$2,"State","VA","Category","10","Category2","Two-Year")</f>
        <v>12267.699999999999</v>
      </c>
      <c r="F120" s="23">
        <f>+GETPIVOTDATA("Undergrad Student Credit Hour  FTE - Old",'FTE Pivot for regular counts'!$A$2,"State","VA","Category2","Two-Year")</f>
        <v>105320.40000000001</v>
      </c>
      <c r="G120" s="18">
        <f>+GETPIVOTDATA("Undergrad Student Credit Hour  FTE - Old",'FTE Pivot for regular counts'!$A$2,"State","VA","Category","12","Category2","Technical")</f>
        <v>0</v>
      </c>
      <c r="H120" s="115">
        <f>+GETPIVOTDATA("Undergrad Student Credit Hour  FTE - Old",'FTE Pivot for regular counts'!$A$2,"State","VA","Category","13","Category2","Technical")</f>
        <v>0</v>
      </c>
      <c r="I120" s="15">
        <f>+GETPIVOTDATA("Undergrad Student Credit Hour  FTE - Old",'FTE Pivot for regular counts'!$A$2,"State","VA","Category",14,"Category2","Technical")</f>
        <v>0</v>
      </c>
      <c r="J120" s="74">
        <f>+GETPIVOTDATA("Undergrad Student Credit Hour  FTE - Old",'FTE Pivot for regular counts'!$A$2,"State","VA","Category2","Technical")</f>
        <v>0</v>
      </c>
      <c r="K120" s="74"/>
      <c r="L120" s="74"/>
    </row>
    <row r="121" spans="1:13" ht="15" customHeight="1">
      <c r="A121" s="3" t="s">
        <v>435</v>
      </c>
      <c r="B121" s="6">
        <f>+GETPIVOTDATA("Undergrad Student Credit Hour  FTE - Old",'FTE Pivot for regular counts'!$A$2,"State","WV","Category","7","Category2","Two-Year")</f>
        <v>4014.6333333333332</v>
      </c>
      <c r="C121" s="6">
        <f>+GETPIVOTDATA("Undergrad Student Credit Hour  FTE - Old",'FTE Pivot for regular counts'!$A$2,"State","WV","Category","8","Category2","Two-Year")</f>
        <v>0</v>
      </c>
      <c r="D121" s="6">
        <f>+GETPIVOTDATA("Undergrad Student Credit Hour  FTE - Old",'FTE Pivot for regular counts'!$A$2,"State","WV","Category","9","Category2","Two-Year")</f>
        <v>0</v>
      </c>
      <c r="E121" s="6">
        <f>+GETPIVOTDATA("Undergrad Student Credit Hour  FTE - Old",'FTE Pivot for regular counts'!$A$2,"State","WV","Category","10","Category2","Two-Year")</f>
        <v>11857.45</v>
      </c>
      <c r="F121" s="24">
        <f>+GETPIVOTDATA("Undergrad Student Credit Hour  FTE - Old",'FTE Pivot for regular counts'!$A$2,"State","WV","Category2","Two-Year")</f>
        <v>15872.083333333334</v>
      </c>
      <c r="G121" s="19">
        <f>+GETPIVOTDATA("Undergrad Student Credit Hour  FTE - Old",'FTE Pivot for regular counts'!$A$2,"State","WV","Category","12","Category2","Technical")</f>
        <v>0</v>
      </c>
      <c r="H121" s="128">
        <f>+GETPIVOTDATA("Undergrad Student Credit Hour  FTE - Old",'FTE Pivot for regular counts'!$A$2,"State","WV","Category","13","Category2","Technical")</f>
        <v>0</v>
      </c>
      <c r="I121" s="6">
        <f>+GETPIVOTDATA("Undergrad Student Credit Hour  FTE - Old",'FTE Pivot for regular counts'!$A$2,"State","WV","Category",14,"Category2","Technical")</f>
        <v>0</v>
      </c>
      <c r="J121" s="86">
        <f>+GETPIVOTDATA("Undergrad Student Credit Hour  FTE - Old",'FTE Pivot for regular counts'!$A$2,"State","WV","Category2","Technical")</f>
        <v>0</v>
      </c>
      <c r="K121" s="74"/>
      <c r="L121" s="74"/>
    </row>
    <row r="122" spans="1:13" s="25" customFormat="1" ht="9.9499999999999993" customHeight="1">
      <c r="A122" s="77"/>
      <c r="B122" s="16"/>
      <c r="C122" s="16"/>
      <c r="D122" s="16"/>
      <c r="E122" s="16"/>
      <c r="F122" s="16"/>
      <c r="G122" s="16"/>
      <c r="H122" s="121"/>
      <c r="I122" s="16"/>
      <c r="J122" s="121"/>
      <c r="K122" s="115"/>
      <c r="L122" s="115"/>
      <c r="M122" s="115"/>
    </row>
    <row r="123" spans="1:13" ht="42.75" customHeight="1">
      <c r="A123" s="793" t="s">
        <v>79</v>
      </c>
      <c r="B123" s="793"/>
      <c r="C123" s="793"/>
      <c r="D123" s="793"/>
      <c r="E123" s="793"/>
      <c r="F123" s="793"/>
      <c r="G123" s="793"/>
      <c r="H123" s="793"/>
      <c r="I123" s="793"/>
      <c r="J123" s="793"/>
      <c r="K123" s="658"/>
      <c r="L123" s="658"/>
      <c r="M123" s="345"/>
    </row>
    <row r="124" spans="1:13">
      <c r="J124" s="307" t="s">
        <v>876</v>
      </c>
      <c r="K124" s="307"/>
      <c r="L124" s="307"/>
      <c r="M124" s="346"/>
    </row>
    <row r="125" spans="1:13" ht="18">
      <c r="A125" s="791" t="s">
        <v>976</v>
      </c>
      <c r="B125" s="791"/>
      <c r="C125" s="791"/>
      <c r="D125" s="791"/>
      <c r="E125" s="791"/>
      <c r="F125" s="791"/>
      <c r="G125" s="791"/>
      <c r="H125" s="791"/>
      <c r="I125" s="791"/>
      <c r="J125" s="791"/>
      <c r="K125" s="659"/>
      <c r="L125" s="659"/>
      <c r="M125" s="316"/>
    </row>
    <row r="126" spans="1:13" ht="15.75">
      <c r="A126" s="80"/>
      <c r="B126" s="17"/>
      <c r="C126" s="44"/>
      <c r="D126" s="56"/>
      <c r="E126" s="17"/>
      <c r="F126" s="17"/>
      <c r="G126" s="17"/>
      <c r="H126" s="129"/>
      <c r="I126" s="17"/>
      <c r="J126" s="129"/>
      <c r="K126" s="129"/>
      <c r="L126" s="129"/>
    </row>
    <row r="127" spans="1:13" ht="15.75">
      <c r="A127" s="792" t="s">
        <v>387</v>
      </c>
      <c r="B127" s="792"/>
      <c r="C127" s="792"/>
      <c r="D127" s="792"/>
      <c r="E127" s="792"/>
      <c r="F127" s="792"/>
      <c r="G127" s="792"/>
      <c r="H127" s="792"/>
      <c r="I127" s="792"/>
      <c r="J127" s="792"/>
      <c r="K127" s="660"/>
      <c r="L127" s="660"/>
    </row>
    <row r="128" spans="1:13" ht="15.75">
      <c r="A128" s="792" t="s">
        <v>964</v>
      </c>
      <c r="B128" s="792"/>
      <c r="C128" s="792"/>
      <c r="D128" s="792"/>
      <c r="E128" s="792"/>
      <c r="F128" s="792"/>
      <c r="G128" s="792"/>
      <c r="H128" s="792"/>
      <c r="I128" s="792"/>
      <c r="J128" s="792"/>
      <c r="K128" s="660"/>
      <c r="L128" s="660"/>
    </row>
    <row r="129" spans="1:12">
      <c r="A129" s="22"/>
      <c r="B129" s="22"/>
      <c r="C129" s="22"/>
      <c r="D129" s="22"/>
      <c r="E129" s="22"/>
      <c r="F129" s="22"/>
      <c r="G129" s="22"/>
      <c r="H129" s="118"/>
      <c r="I129" s="22"/>
      <c r="J129" s="118"/>
      <c r="K129" s="118"/>
      <c r="L129" s="118"/>
    </row>
    <row r="130" spans="1:12">
      <c r="A130" s="62"/>
      <c r="B130" s="57" t="s">
        <v>419</v>
      </c>
      <c r="C130" s="57"/>
      <c r="D130" s="27"/>
      <c r="E130" s="27"/>
      <c r="F130" s="27"/>
      <c r="G130" s="58" t="s">
        <v>397</v>
      </c>
      <c r="H130" s="103"/>
      <c r="I130" s="30"/>
      <c r="J130" s="104"/>
      <c r="K130" s="308" t="s">
        <v>380</v>
      </c>
      <c r="L130" s="308"/>
    </row>
    <row r="131" spans="1:12" ht="24">
      <c r="A131" s="46"/>
      <c r="B131" s="59" t="s">
        <v>501</v>
      </c>
      <c r="C131" s="47">
        <v>1</v>
      </c>
      <c r="D131" s="47">
        <v>2</v>
      </c>
      <c r="E131" s="47">
        <v>3</v>
      </c>
      <c r="F131" s="47" t="s">
        <v>382</v>
      </c>
      <c r="G131" s="61">
        <v>1</v>
      </c>
      <c r="H131" s="106">
        <v>2</v>
      </c>
      <c r="I131" s="59" t="s">
        <v>379</v>
      </c>
      <c r="J131" s="105" t="s">
        <v>382</v>
      </c>
      <c r="K131" s="135"/>
      <c r="L131" s="135"/>
    </row>
    <row r="132" spans="1:12" ht="15" customHeight="1">
      <c r="A132" s="1" t="s">
        <v>420</v>
      </c>
      <c r="B132" s="7">
        <f>+GETPIVOTDATA(" Undergrad Contact Hour FTE - Old",'FTE Pivot for regular counts'!$A$2,"Category","7","Category2","Two-Year")</f>
        <v>14506.864444444444</v>
      </c>
      <c r="C132" s="7">
        <f>+GETPIVOTDATA(" Undergrad Contact Hour FTE - Old",'FTE Pivot for regular counts'!$A$2,"Category","8","Category2","Two-Year")</f>
        <v>37016.044444444451</v>
      </c>
      <c r="D132" s="7">
        <f>+GETPIVOTDATA(" Undergrad Contact Hour FTE - Old",'FTE Pivot for regular counts'!$A$2,"Category","9","Category2","Two-Year")</f>
        <v>11114.646666666666</v>
      </c>
      <c r="E132" s="7">
        <f>+GETPIVOTDATA(" Undergrad Contact Hour FTE - Old",'FTE Pivot for regular counts'!$A$2,"Category","10","Category2","Two-Year")</f>
        <v>1384.0111111111112</v>
      </c>
      <c r="F132" s="8">
        <f>+GETPIVOTDATA(" Undergrad Contact Hour FTE - Old",'FTE Pivot for regular counts'!$A$2,"Category2","Two-Year")</f>
        <v>64021.566666666666</v>
      </c>
      <c r="G132" s="7">
        <f>+GETPIVOTDATA(" Undergrad Contact Hour FTE - Old",'FTE Pivot for regular counts'!$A$2,"Category","12","Category2","Technical")</f>
        <v>6795.3086222222237</v>
      </c>
      <c r="H132" s="130">
        <f>+GETPIVOTDATA(" Undergrad Contact Hour FTE - Old",'FTE Pivot for regular counts'!$A$2,"Category","13","Category2","Technical")</f>
        <v>31245.567399999993</v>
      </c>
      <c r="I132" s="7">
        <f>+GETPIVOTDATA(" Undergrad Contact Hour FTE - Old",'FTE Pivot for regular counts'!$A$2,"Category",14,"Category2","Technical")</f>
        <v>98.387222222222221</v>
      </c>
      <c r="J132" s="130">
        <f>+GETPIVOTDATA(" Undergrad Contact Hour FTE - Old",'FTE Pivot for regular counts'!$A$2,"Category2","Technical")</f>
        <v>38139.263244444439</v>
      </c>
      <c r="K132" s="130"/>
      <c r="L132" s="130"/>
    </row>
    <row r="133" spans="1:12" ht="15" customHeight="1">
      <c r="B133" s="7"/>
      <c r="C133" s="33"/>
      <c r="D133" s="33"/>
      <c r="G133" s="32"/>
    </row>
    <row r="134" spans="1:12" ht="15" customHeight="1">
      <c r="A134" s="1" t="s">
        <v>421</v>
      </c>
      <c r="B134" s="7">
        <f>+GETPIVOTDATA(" Undergrad Contact Hour FTE - Old",'FTE Pivot for regular counts'!$A$2,"State","AL","Category","7","Category2","Two-Year")</f>
        <v>0</v>
      </c>
      <c r="C134" s="7">
        <f>+GETPIVOTDATA(" Undergrad Contact Hour FTE - Old",'FTE Pivot for regular counts'!$A$2,"State","AL","Category","8","Category2","Two-Year")</f>
        <v>0</v>
      </c>
      <c r="D134" s="7">
        <f>+GETPIVOTDATA(" Undergrad Contact Hour FTE - Old",'FTE Pivot for regular counts'!$A$2,"State","AL","Category","9","Category2","Two-Year")</f>
        <v>0</v>
      </c>
      <c r="E134" s="7">
        <f>+GETPIVOTDATA(" Undergrad Contact Hour FTE - Old",'FTE Pivot for regular counts'!$A$2,"State","AL","Category","10","Category2","Two-Year")</f>
        <v>0</v>
      </c>
      <c r="F134" s="8">
        <f>+GETPIVOTDATA(" Undergrad Contact Hour FTE - Old",'FTE Pivot for regular counts'!$A$2,"State","AL","Category2","Two-Year")</f>
        <v>0</v>
      </c>
      <c r="G134" s="7">
        <f>+GETPIVOTDATA(" Undergrad Contact Hour FTE - Old",'FTE Pivot for regular counts'!$A$2,"State","AL","Category","12","Category2","Technical")</f>
        <v>0</v>
      </c>
      <c r="H134" s="130">
        <f>+GETPIVOTDATA(" Undergrad Contact Hour FTE - Old",'FTE Pivot for regular counts'!$A$2,"State","AL","Category","13","Category2","Technical")</f>
        <v>0</v>
      </c>
      <c r="I134" s="7">
        <f>+GETPIVOTDATA(" Undergrad Contact Hour FTE - Old",'FTE Pivot for regular counts'!$A$2,"State","AL","Category",14,"Category2","Technical")</f>
        <v>0</v>
      </c>
      <c r="J134" s="130">
        <f>+GETPIVOTDATA(" Undergrad Contact Hour FTE - Old",'FTE Pivot for regular counts'!$A$2,"State","AL","Category2","Technical")</f>
        <v>0</v>
      </c>
      <c r="K134" s="130"/>
      <c r="L134" s="130"/>
    </row>
    <row r="135" spans="1:12" ht="15" customHeight="1">
      <c r="A135" s="1" t="s">
        <v>422</v>
      </c>
      <c r="B135" s="33">
        <f>+GETPIVOTDATA(" Undergrad Contact Hour FTE - Old",'FTE Pivot for regular counts'!$A$2,"State","AR","Category","7","Category2","Two-Year")</f>
        <v>0</v>
      </c>
      <c r="C135" s="33">
        <f>+GETPIVOTDATA(" Undergrad Contact Hour FTE - Old",'FTE Pivot for regular counts'!$A$2,"State","AR","Category","8","Category2","Two-Year")</f>
        <v>0</v>
      </c>
      <c r="D135" s="33">
        <f>+GETPIVOTDATA(" Undergrad Contact Hour FTE - Old",'FTE Pivot for regular counts'!$A$2,"State","AR","Category","9","Category2","Two-Year")</f>
        <v>0</v>
      </c>
      <c r="E135" s="33">
        <f>+GETPIVOTDATA(" Undergrad Contact Hour FTE - Old",'FTE Pivot for regular counts'!$A$2,"State","AR","Category","10","Category2","Two-Year")</f>
        <v>0</v>
      </c>
      <c r="F135" s="8">
        <f>+GETPIVOTDATA(" Undergrad Contact Hour FTE - Old",'FTE Pivot for regular counts'!$A$2,"State","AR","Category2","Two-Year")</f>
        <v>0</v>
      </c>
      <c r="G135" s="33">
        <f>+GETPIVOTDATA(" Undergrad Contact Hour FTE - Old",'FTE Pivot for regular counts'!$A$2,"State","AR","Category","12","Category2","Technical")</f>
        <v>0</v>
      </c>
      <c r="H135" s="131">
        <f>+GETPIVOTDATA(" Undergrad Contact Hour FTE - Old",'FTE Pivot for regular counts'!$A$2,"State","AR","Category","13","Category2","Technical")</f>
        <v>0</v>
      </c>
      <c r="I135" s="33">
        <f>+GETPIVOTDATA(" Undergrad Contact Hour FTE - Old",'FTE Pivot for regular counts'!$A$2,"State","AR","Category",14,"Category2","Technical")</f>
        <v>0</v>
      </c>
      <c r="J135" s="131">
        <f>+GETPIVOTDATA(" Undergrad Contact Hour FTE - Old",'FTE Pivot for regular counts'!$A$2,"State","AR","Category2","Technical")</f>
        <v>0</v>
      </c>
      <c r="K135" s="131"/>
      <c r="L135" s="131"/>
    </row>
    <row r="136" spans="1:12" ht="15" customHeight="1">
      <c r="A136" s="1" t="s">
        <v>459</v>
      </c>
      <c r="B136" s="33">
        <f>+GETPIVOTDATA(" Undergrad Contact Hour FTE - Old",'FTE Pivot for regular counts'!$A$2,"State","DE","Category","7","Category2","Two-Year")</f>
        <v>0</v>
      </c>
      <c r="C136" s="33">
        <f>+GETPIVOTDATA(" Undergrad Contact Hour FTE - Old",'FTE Pivot for regular counts'!$A$2,"State","DE","Category","8","Category2","Two-Year")</f>
        <v>0</v>
      </c>
      <c r="D136" s="33">
        <f>+GETPIVOTDATA(" Undergrad Contact Hour FTE - Old",'FTE Pivot for regular counts'!$A$2,"State","DE","Category","9","Category2","Two-Year")</f>
        <v>0</v>
      </c>
      <c r="E136" s="33">
        <f>+GETPIVOTDATA(" Undergrad Contact Hour FTE - Old",'FTE Pivot for regular counts'!$A$2,"State","DE","Category","10","Category2","Two-Year")</f>
        <v>0</v>
      </c>
      <c r="F136" s="8">
        <f>+GETPIVOTDATA(" Undergrad Contact Hour FTE - Old",'FTE Pivot for regular counts'!$A$2,"State","DE","Category2","Two-Year")</f>
        <v>0</v>
      </c>
      <c r="G136" s="33">
        <f>+GETPIVOTDATA(" Undergrad Contact Hour FTE - Old",'FTE Pivot for regular counts'!$A$2,"State","DE","Category","12","Category2","Technical")</f>
        <v>0</v>
      </c>
      <c r="H136" s="131">
        <f>+GETPIVOTDATA(" Undergrad Contact Hour FTE - Old",'FTE Pivot for regular counts'!$A$2,"State","DE","Category","13","Category2","Technical")</f>
        <v>0</v>
      </c>
      <c r="I136" s="33">
        <f>+GETPIVOTDATA(" Undergrad Contact Hour FTE - Old",'FTE Pivot for regular counts'!$A$2,"State","DE","Category",14,"Category2","Technical")</f>
        <v>0</v>
      </c>
      <c r="J136" s="131">
        <f>+GETPIVOTDATA(" Undergrad Contact Hour FTE - Old",'FTE Pivot for regular counts'!$A$2,"State","DE","Category2","Technical")</f>
        <v>0</v>
      </c>
      <c r="K136" s="131"/>
      <c r="L136" s="131"/>
    </row>
    <row r="137" spans="1:12" ht="15" customHeight="1">
      <c r="A137" s="1" t="s">
        <v>423</v>
      </c>
      <c r="B137" s="33">
        <f>+GETPIVOTDATA(" Undergrad Contact Hour FTE - Old",'FTE Pivot for regular counts'!$A$2,"State","FL","Category","7","Category2","Two-Year")</f>
        <v>14074.293333333333</v>
      </c>
      <c r="C137" s="33">
        <f>+GETPIVOTDATA(" Undergrad Contact Hour FTE - Old",'FTE Pivot for regular counts'!$A$2,"State","FL","Category","8","Category2","Two-Year")</f>
        <v>25831.948888888892</v>
      </c>
      <c r="D137" s="33">
        <f>+GETPIVOTDATA(" Undergrad Contact Hour FTE - Old",'FTE Pivot for regular counts'!$A$2,"State","FL","Category","9","Category2","Two-Year")</f>
        <v>3749.5211111111112</v>
      </c>
      <c r="E137" s="33">
        <f>+GETPIVOTDATA(" Undergrad Contact Hour FTE - Old",'FTE Pivot for regular counts'!$A$2,"State","FL","Category","10","Category2","Two-Year")</f>
        <v>229.1911111111111</v>
      </c>
      <c r="F137" s="8">
        <f>+GETPIVOTDATA(" Undergrad Contact Hour FTE - Old",'FTE Pivot for regular counts'!$A$2,"State","FL","Category2","Two-Year")</f>
        <v>43884.954444444447</v>
      </c>
      <c r="G137" s="33">
        <f>+GETPIVOTDATA(" Undergrad Contact Hour FTE - Old",'FTE Pivot for regular counts'!$A$2,"State","FL","Category","12","Category2","Technical")</f>
        <v>0</v>
      </c>
      <c r="H137" s="131">
        <f>+GETPIVOTDATA(" Undergrad Contact Hour FTE - Old",'FTE Pivot for regular counts'!$A$2,"State","FL","Category","13","Category2","Technical")</f>
        <v>0</v>
      </c>
      <c r="I137" s="33">
        <f>+GETPIVOTDATA(" Undergrad Contact Hour FTE - Old",'FTE Pivot for regular counts'!$A$2,"State","FL","Category",14,"Category2","Technical")</f>
        <v>0</v>
      </c>
      <c r="J137" s="131">
        <f>+GETPIVOTDATA(" Undergrad Contact Hour FTE - Old",'FTE Pivot for regular counts'!$A$2,"State","FL","Category2","Technical")</f>
        <v>0</v>
      </c>
      <c r="K137" s="131"/>
      <c r="L137" s="131"/>
    </row>
    <row r="138" spans="1:12" ht="15" customHeight="1">
      <c r="B138" s="33"/>
      <c r="C138" s="33"/>
      <c r="D138" s="33"/>
      <c r="E138" s="33"/>
      <c r="F138" s="8"/>
      <c r="G138" s="33"/>
      <c r="H138" s="131"/>
      <c r="I138" s="33"/>
      <c r="J138" s="131"/>
      <c r="K138" s="131"/>
      <c r="L138" s="131"/>
    </row>
    <row r="139" spans="1:12" ht="15" customHeight="1">
      <c r="A139" s="1" t="s">
        <v>424</v>
      </c>
      <c r="B139" s="33">
        <f>+GETPIVOTDATA(" Undergrad Contact Hour FTE - Old",'FTE Pivot for regular counts'!$A$2,"State","GA","Category","7","Category2","Two-Year")</f>
        <v>0</v>
      </c>
      <c r="C139" s="33">
        <f>+GETPIVOTDATA(" Undergrad Contact Hour FTE - Old",'FTE Pivot for regular counts'!$A$2,"State","GA","Category","8","Category2","Two-Year")</f>
        <v>0</v>
      </c>
      <c r="D139" s="33">
        <f>+GETPIVOTDATA(" Undergrad Contact Hour FTE - Old",'FTE Pivot for regular counts'!$A$2,"State","GA","Category","9","Category2","Two-Year")</f>
        <v>0</v>
      </c>
      <c r="E139" s="33">
        <f>+GETPIVOTDATA(" Undergrad Contact Hour FTE - Old",'FTE Pivot for regular counts'!$A$2,"State","GA","Category","10","Category2","Two-Year")</f>
        <v>0</v>
      </c>
      <c r="F139" s="8">
        <f>+GETPIVOTDATA(" Undergrad Contact Hour FTE - Old",'FTE Pivot for regular counts'!$A$2,"State","GA","Category2","Two-Year")</f>
        <v>0</v>
      </c>
      <c r="G139" s="33">
        <f>+GETPIVOTDATA(" Undergrad Contact Hour FTE - Old",'FTE Pivot for regular counts'!$A$2,"State","GA","Category","12","Category2","Technical")</f>
        <v>0</v>
      </c>
      <c r="H139" s="131">
        <f>+GETPIVOTDATA(" Undergrad Contact Hour FTE - Old",'FTE Pivot for regular counts'!$A$2,"State","GA","Category","13","Category2","Technical")</f>
        <v>0</v>
      </c>
      <c r="I139" s="33">
        <f>+GETPIVOTDATA(" Undergrad Contact Hour FTE - Old",'FTE Pivot for regular counts'!$A$2,"State","GA","Category",14,"Category2","Technical")</f>
        <v>0</v>
      </c>
      <c r="J139" s="131">
        <f>+GETPIVOTDATA(" Undergrad Contact Hour FTE - Old",'FTE Pivot for regular counts'!$A$2,"State","GA","Category2","Technical")</f>
        <v>0</v>
      </c>
      <c r="K139" s="131"/>
      <c r="L139" s="131"/>
    </row>
    <row r="140" spans="1:12" ht="15" customHeight="1">
      <c r="A140" s="1" t="s">
        <v>425</v>
      </c>
      <c r="B140" s="33">
        <f>+GETPIVOTDATA(" Undergrad Contact Hour FTE - Old",'FTE Pivot for regular counts'!$A$2,"State","KY","Category","7","Category2","Two-Year")</f>
        <v>0</v>
      </c>
      <c r="C140" s="33">
        <f>+GETPIVOTDATA(" Undergrad Contact Hour FTE - Old",'FTE Pivot for regular counts'!$A$2,"State","KY","Category","8","Category2","Two-Year")</f>
        <v>0</v>
      </c>
      <c r="D140" s="33">
        <f>+GETPIVOTDATA(" Undergrad Contact Hour FTE - Old",'FTE Pivot for regular counts'!$A$2,"State","KY","Category","9","Category2","Two-Year")</f>
        <v>0</v>
      </c>
      <c r="E140" s="33">
        <f>+GETPIVOTDATA(" Undergrad Contact Hour FTE - Old",'FTE Pivot for regular counts'!$A$2,"State","KY","Category","10","Category2","Two-Year")</f>
        <v>0</v>
      </c>
      <c r="F140" s="8">
        <f>+GETPIVOTDATA(" Undergrad Contact Hour FTE - Old",'FTE Pivot for regular counts'!$A$2,"State","KY","Category2","Two-Year")</f>
        <v>0</v>
      </c>
      <c r="G140" s="33">
        <f>+GETPIVOTDATA(" Undergrad Contact Hour FTE - Old",'FTE Pivot for regular counts'!$A$2,"State","KY","Category","12","Category2","Technical")</f>
        <v>0</v>
      </c>
      <c r="H140" s="131">
        <f>+GETPIVOTDATA(" Undergrad Contact Hour FTE - Old",'FTE Pivot for regular counts'!$A$2,"State","KY","Category","13","Category2","Technical")</f>
        <v>0</v>
      </c>
      <c r="I140" s="33">
        <f>+GETPIVOTDATA(" Undergrad Contact Hour FTE - Old",'FTE Pivot for regular counts'!$A$2,"State","KY","Category",14,"Category2","Technical")</f>
        <v>0</v>
      </c>
      <c r="J140" s="131">
        <f>+GETPIVOTDATA(" Undergrad Contact Hour FTE - Old",'FTE Pivot for regular counts'!$A$2,"State","KY","Category2","Technical")</f>
        <v>0</v>
      </c>
      <c r="K140" s="131"/>
      <c r="L140" s="131"/>
    </row>
    <row r="141" spans="1:12" ht="15" customHeight="1">
      <c r="A141" s="1" t="s">
        <v>426</v>
      </c>
      <c r="B141" s="33">
        <f>+GETPIVOTDATA(" Undergrad Contact Hour FTE - Old",'FTE Pivot for regular counts'!$A$2,"State","LA","Category","7","Category2","Two-Year")</f>
        <v>0</v>
      </c>
      <c r="C141" s="33">
        <f>+GETPIVOTDATA(" Undergrad Contact Hour FTE - Old",'FTE Pivot for regular counts'!$A$2,"State","LA","Category","8","Category2","Two-Year")</f>
        <v>0</v>
      </c>
      <c r="D141" s="33">
        <f>+GETPIVOTDATA(" Undergrad Contact Hour FTE - Old",'FTE Pivot for regular counts'!$A$2,"State","LA","Category","9","Category2","Two-Year")</f>
        <v>0</v>
      </c>
      <c r="E141" s="33">
        <f>+GETPIVOTDATA(" Undergrad Contact Hour FTE - Old",'FTE Pivot for regular counts'!$A$2,"State","LA","Category","10","Category2","Two-Year")</f>
        <v>0</v>
      </c>
      <c r="F141" s="8">
        <f>+GETPIVOTDATA(" Undergrad Contact Hour FTE - Old",'FTE Pivot for regular counts'!$A$2,"State","LA","Category2","Two-Year")</f>
        <v>0</v>
      </c>
      <c r="G141" s="33">
        <f>+GETPIVOTDATA(" Undergrad Contact Hour FTE - Old",'FTE Pivot for regular counts'!$A$2,"State","LA","Category","12","Category2","Technical")</f>
        <v>0</v>
      </c>
      <c r="H141" s="131">
        <f>+GETPIVOTDATA(" Undergrad Contact Hour FTE - Old",'FTE Pivot for regular counts'!$A$2,"State","LA","Category","13","Category2","Technical")</f>
        <v>24.097777777777779</v>
      </c>
      <c r="I141" s="33">
        <f>+GETPIVOTDATA(" Undergrad Contact Hour FTE - Old",'FTE Pivot for regular counts'!$A$2,"State","LA","Category",14,"Category2","Technical")</f>
        <v>98.387222222222221</v>
      </c>
      <c r="J141" s="131">
        <f>+GETPIVOTDATA(" Undergrad Contact Hour FTE - Old",'FTE Pivot for regular counts'!$A$2,"State","LA","Category2","Technical")</f>
        <v>122.485</v>
      </c>
      <c r="K141" s="131"/>
      <c r="L141" s="131"/>
    </row>
    <row r="142" spans="1:12" ht="15" customHeight="1">
      <c r="A142" s="1" t="s">
        <v>427</v>
      </c>
      <c r="B142" s="33">
        <f>+GETPIVOTDATA(" Undergrad Contact Hour FTE - Old",'FTE Pivot for regular counts'!$A$2,"State","MD","Category","7","Category2","Two-Year")</f>
        <v>0</v>
      </c>
      <c r="C142" s="33">
        <f>+GETPIVOTDATA(" Undergrad Contact Hour FTE - Old",'FTE Pivot for regular counts'!$A$2,"State","MD","Category","8","Category2","Two-Year")</f>
        <v>0</v>
      </c>
      <c r="D142" s="33">
        <f>+GETPIVOTDATA(" Undergrad Contact Hour FTE - Old",'FTE Pivot for regular counts'!$A$2,"State","MD","Category","9","Category2","Two-Year")</f>
        <v>0</v>
      </c>
      <c r="E142" s="33">
        <f>+GETPIVOTDATA(" Undergrad Contact Hour FTE - Old",'FTE Pivot for regular counts'!$A$2,"State","MD","Category","10","Category2","Two-Year")</f>
        <v>0</v>
      </c>
      <c r="F142" s="8">
        <f>+GETPIVOTDATA(" Undergrad Contact Hour FTE - Old",'FTE Pivot for regular counts'!$A$2,"State","MD","Category2","Two-Year")</f>
        <v>0</v>
      </c>
      <c r="G142" s="33">
        <f>+GETPIVOTDATA(" Undergrad Contact Hour FTE - Old",'FTE Pivot for regular counts'!$A$2,"State","MD","Category","12","Category2","Technical")</f>
        <v>0</v>
      </c>
      <c r="H142" s="131">
        <f>+GETPIVOTDATA(" Undergrad Contact Hour FTE - Old",'FTE Pivot for regular counts'!$A$2,"State","MD","Category","13","Category2","Technical")</f>
        <v>0</v>
      </c>
      <c r="I142" s="33">
        <f>+GETPIVOTDATA(" Undergrad Contact Hour FTE - Old",'FTE Pivot for regular counts'!$A$2,"State","MD","Category",14,"Category2","Technical")</f>
        <v>0</v>
      </c>
      <c r="J142" s="131">
        <f>+GETPIVOTDATA(" Undergrad Contact Hour FTE - Old",'FTE Pivot for regular counts'!$A$2,"State","MD","Category2","Technical")</f>
        <v>0</v>
      </c>
      <c r="K142" s="131"/>
      <c r="L142" s="131"/>
    </row>
    <row r="143" spans="1:12" ht="15" customHeight="1">
      <c r="B143" s="33">
        <f>+GETPIVOTDATA(" Undergrad Contact Hour FTE - Old",'FTE Pivot for regular counts'!$A$2,"State","AL","Category","7","Category2","Two-Year")</f>
        <v>0</v>
      </c>
      <c r="C143" s="33">
        <f>+GETPIVOTDATA(" Undergrad Contact Hour FTE - Old",'FTE Pivot for regular counts'!$A$2,"State","AL","Category","8","Category2","Two-Year")</f>
        <v>0</v>
      </c>
      <c r="D143" s="33">
        <f>+GETPIVOTDATA(" Undergrad Contact Hour FTE - Old",'FTE Pivot for regular counts'!$A$2,"State","AL","Category","9","Category2","Two-Year")</f>
        <v>0</v>
      </c>
      <c r="E143" s="33">
        <f>+GETPIVOTDATA(" Undergrad Contact Hour FTE - Old",'FTE Pivot for regular counts'!$A$2,"State","AL","Category","10","Category2","Two-Year")</f>
        <v>0</v>
      </c>
      <c r="F143" s="8">
        <f>+GETPIVOTDATA(" Undergrad Contact Hour FTE - Old",'FTE Pivot for regular counts'!$A$2,"State","AL","Category2","Two-Year")</f>
        <v>0</v>
      </c>
      <c r="G143" s="33">
        <f>+GETPIVOTDATA(" Undergrad Contact Hour FTE - Old",'FTE Pivot for regular counts'!$A$2,"State","AL","Category","12","Category2","Technical")</f>
        <v>0</v>
      </c>
      <c r="H143" s="131">
        <f>+GETPIVOTDATA(" Undergrad Contact Hour FTE - Old",'FTE Pivot for regular counts'!$A$2,"State","AL","Category","13","Category2","Technical")</f>
        <v>0</v>
      </c>
      <c r="I143" s="33">
        <f>+GETPIVOTDATA(" Undergrad Contact Hour FTE - Old",'FTE Pivot for regular counts'!$A$2,"State","AL","Category",14,"Category2","Technical")</f>
        <v>0</v>
      </c>
      <c r="J143" s="131">
        <f>+GETPIVOTDATA(" Undergrad Contact Hour FTE - Old",'FTE Pivot for regular counts'!$A$2,"State","AL","Category2","Technical")</f>
        <v>0</v>
      </c>
      <c r="K143" s="131"/>
      <c r="L143" s="131"/>
    </row>
    <row r="144" spans="1:12" ht="15" customHeight="1">
      <c r="A144" s="1" t="s">
        <v>428</v>
      </c>
      <c r="B144" s="33">
        <f>+GETPIVOTDATA(" Undergrad Contact Hour FTE - Old",'FTE Pivot for regular counts'!$A$2,"State","MS","Category","7","Category2","Two-Year")</f>
        <v>0</v>
      </c>
      <c r="C144" s="33">
        <f>+GETPIVOTDATA(" Undergrad Contact Hour FTE - Old",'FTE Pivot for regular counts'!$A$2,"State","MS","Category","8","Category2","Two-Year")</f>
        <v>0</v>
      </c>
      <c r="D144" s="33">
        <f>+GETPIVOTDATA(" Undergrad Contact Hour FTE - Old",'FTE Pivot for regular counts'!$A$2,"State","MS","Category","9","Category2","Two-Year")</f>
        <v>0</v>
      </c>
      <c r="E144" s="33">
        <f>+GETPIVOTDATA(" Undergrad Contact Hour FTE - Old",'FTE Pivot for regular counts'!$A$2,"State","MS","Category","10","Category2","Two-Year")</f>
        <v>0</v>
      </c>
      <c r="F144" s="8">
        <f>+GETPIVOTDATA(" Undergrad Contact Hour FTE - Old",'FTE Pivot for regular counts'!$A$2,"State","MS","Category2","Two-Year")</f>
        <v>0</v>
      </c>
      <c r="G144" s="33">
        <f>+GETPIVOTDATA(" Undergrad Contact Hour FTE - Old",'FTE Pivot for regular counts'!$A$2,"State","MS","Category","12","Category2","Technical")</f>
        <v>0</v>
      </c>
      <c r="H144" s="131">
        <f>+GETPIVOTDATA(" Undergrad Contact Hour FTE - Old",'FTE Pivot for regular counts'!$A$2,"State","MS","Category","13","Category2","Technical")</f>
        <v>0</v>
      </c>
      <c r="I144" s="33">
        <f>+GETPIVOTDATA(" Undergrad Contact Hour FTE - Old",'FTE Pivot for regular counts'!$A$2,"State","MS","Category",14,"Category2","Technical")</f>
        <v>0</v>
      </c>
      <c r="J144" s="131">
        <f>+GETPIVOTDATA(" Undergrad Contact Hour FTE - Old",'FTE Pivot for regular counts'!$A$2,"State","MS","Category2","Technical")</f>
        <v>0</v>
      </c>
      <c r="K144" s="131"/>
      <c r="L144" s="131"/>
    </row>
    <row r="145" spans="1:19" ht="15" customHeight="1">
      <c r="A145" s="1" t="s">
        <v>429</v>
      </c>
      <c r="B145" s="33">
        <f>+GETPIVOTDATA(" Undergrad Contact Hour FTE - Old",'FTE Pivot for regular counts'!$A$2,"State","NC","Category","7","Category2","Two-Year")</f>
        <v>0</v>
      </c>
      <c r="C145" s="33">
        <f>+GETPIVOTDATA(" Undergrad Contact Hour FTE - Old",'FTE Pivot for regular counts'!$A$2,"State","NC","Category","8","Category2","Two-Year")</f>
        <v>0</v>
      </c>
      <c r="D145" s="33">
        <f>+GETPIVOTDATA(" Undergrad Contact Hour FTE - Old",'FTE Pivot for regular counts'!$A$2,"State","NC","Category","9","Category2","Two-Year")</f>
        <v>0</v>
      </c>
      <c r="E145" s="33">
        <f>+GETPIVOTDATA(" Undergrad Contact Hour FTE - Old",'FTE Pivot for regular counts'!$A$2,"State","NC","Category","10","Category2","Two-Year")</f>
        <v>0</v>
      </c>
      <c r="F145" s="8">
        <f>+GETPIVOTDATA(" Undergrad Contact Hour FTE - Old",'FTE Pivot for regular counts'!$A$2,"State","NC","Category2","Two-Year")</f>
        <v>0</v>
      </c>
      <c r="G145" s="33">
        <f>+GETPIVOTDATA(" Undergrad Contact Hour FTE - Old",'FTE Pivot for regular counts'!$A$2,"State","NC","Category","12","Category2","Technical")</f>
        <v>0</v>
      </c>
      <c r="H145" s="131">
        <f>+GETPIVOTDATA(" Undergrad Contact Hour FTE - Old",'FTE Pivot for regular counts'!$A$2,"State","NC","Category","13","Category2","Technical")</f>
        <v>0</v>
      </c>
      <c r="I145" s="33">
        <f>+GETPIVOTDATA(" Undergrad Contact Hour FTE - Old",'FTE Pivot for regular counts'!$A$2,"State","NC","Category",14,"Category2","Technical")</f>
        <v>0</v>
      </c>
      <c r="J145" s="131">
        <f>+GETPIVOTDATA(" Undergrad Contact Hour FTE - Old",'FTE Pivot for regular counts'!$A$2,"State","NC","Category2","Technical")</f>
        <v>0</v>
      </c>
      <c r="K145" s="131"/>
      <c r="L145" s="131"/>
    </row>
    <row r="146" spans="1:19" ht="15" customHeight="1">
      <c r="A146" s="1" t="s">
        <v>430</v>
      </c>
      <c r="B146" s="33">
        <f>+GETPIVOTDATA(" Undergrad Contact Hour FTE - Old",'FTE Pivot for regular counts'!$A$2,"State","OK","Category","7","Category2","Two-Year")</f>
        <v>0</v>
      </c>
      <c r="C146" s="33">
        <f>+GETPIVOTDATA(" Undergrad Contact Hour FTE - Old",'FTE Pivot for regular counts'!$A$2,"State","OK","Category","8","Category2","Two-Year")</f>
        <v>0</v>
      </c>
      <c r="D146" s="33">
        <f>+GETPIVOTDATA(" Undergrad Contact Hour FTE - Old",'FTE Pivot for regular counts'!$A$2,"State","OK","Category","9","Category2","Two-Year")</f>
        <v>0</v>
      </c>
      <c r="E146" s="33">
        <f>+GETPIVOTDATA(" Undergrad Contact Hour FTE - Old",'FTE Pivot for regular counts'!$A$2,"State","OK","Category","10","Category2","Two-Year")</f>
        <v>0</v>
      </c>
      <c r="F146" s="8">
        <f>+GETPIVOTDATA(" Undergrad Contact Hour FTE - Old",'FTE Pivot for regular counts'!$A$2,"State","OK","Category2","Two-Year")</f>
        <v>0</v>
      </c>
      <c r="G146" s="33">
        <f>+GETPIVOTDATA(" Undergrad Contact Hour FTE - Old",'FTE Pivot for regular counts'!$A$2,"State","OK","Category","12","Category2","Technical")</f>
        <v>6795.3086222222237</v>
      </c>
      <c r="H146" s="131">
        <f>+GETPIVOTDATA(" Undergrad Contact Hour FTE - Old",'FTE Pivot for regular counts'!$A$2,"State","OK","Category","13","Category2","Technical")</f>
        <v>20184.214066666664</v>
      </c>
      <c r="I146" s="33">
        <f>+GETPIVOTDATA(" Undergrad Contact Hour FTE - Old",'FTE Pivot for regular counts'!$A$2,"State","OK","Category",14,"Category2","Technical")</f>
        <v>0</v>
      </c>
      <c r="J146" s="131">
        <f>+GETPIVOTDATA(" Undergrad Contact Hour FTE - Old",'FTE Pivot for regular counts'!$A$2,"State","OK","Category2","Technical")</f>
        <v>26979.522688888886</v>
      </c>
      <c r="K146" s="131"/>
      <c r="L146" s="131"/>
    </row>
    <row r="147" spans="1:19" ht="15" customHeight="1">
      <c r="A147" s="1" t="s">
        <v>431</v>
      </c>
      <c r="B147" s="33">
        <f>+GETPIVOTDATA(" Undergrad Contact Hour FTE - Old",'FTE Pivot for regular counts'!$A$2,"State","SC","Category","7","Category2","Two-Year")</f>
        <v>0</v>
      </c>
      <c r="C147" s="33">
        <f>+GETPIVOTDATA(" Undergrad Contact Hour FTE - Old",'FTE Pivot for regular counts'!$A$2,"State","SC","Category","8","Category2","Two-Year")</f>
        <v>0</v>
      </c>
      <c r="D147" s="33">
        <f>+GETPIVOTDATA(" Undergrad Contact Hour FTE - Old",'FTE Pivot for regular counts'!$A$2,"State","SC","Category","9","Category2","Two-Year")</f>
        <v>0</v>
      </c>
      <c r="E147" s="33">
        <f>+GETPIVOTDATA(" Undergrad Contact Hour FTE - Old",'FTE Pivot for regular counts'!$A$2,"State","SC","Category","10","Category2","Two-Year")</f>
        <v>0</v>
      </c>
      <c r="F147" s="8">
        <f>+GETPIVOTDATA(" Undergrad Contact Hour FTE - Old",'FTE Pivot for regular counts'!$A$2,"State","SC","Category2","Two-Year")</f>
        <v>0</v>
      </c>
      <c r="G147" s="33">
        <f>+GETPIVOTDATA(" Undergrad Contact Hour FTE - Old",'FTE Pivot for regular counts'!$A$2,"State","SC","Category","12","Category2","Technical")</f>
        <v>0</v>
      </c>
      <c r="H147" s="131">
        <f>+GETPIVOTDATA(" Undergrad Contact Hour FTE - Old",'FTE Pivot for regular counts'!$A$2,"State","SC","Category","13","Category2","Technical")</f>
        <v>0</v>
      </c>
      <c r="I147" s="33">
        <f>+GETPIVOTDATA(" Undergrad Contact Hour FTE - Old",'FTE Pivot for regular counts'!$A$2,"State","SC","Category",14,"Category2","Technical")</f>
        <v>0</v>
      </c>
      <c r="J147" s="131">
        <f>+GETPIVOTDATA(" Undergrad Contact Hour FTE - Old",'FTE Pivot for regular counts'!$A$2,"State","SC","Category2","Technical")</f>
        <v>0</v>
      </c>
      <c r="K147" s="131"/>
      <c r="L147" s="131"/>
    </row>
    <row r="148" spans="1:19" ht="15" customHeight="1">
      <c r="B148" s="33">
        <f>+GETPIVOTDATA(" Undergrad Contact Hour FTE - Old",'FTE Pivot for regular counts'!$A$2,"State","AL","Category","7","Category2","Two-Year")</f>
        <v>0</v>
      </c>
      <c r="C148" s="33">
        <f>+GETPIVOTDATA(" Undergrad Contact Hour FTE - Old",'FTE Pivot for regular counts'!$A$2,"State","AL","Category","8","Category2","Two-Year")</f>
        <v>0</v>
      </c>
      <c r="D148" s="33">
        <f>+GETPIVOTDATA(" Undergrad Contact Hour FTE - Old",'FTE Pivot for regular counts'!$A$2,"State","AL","Category","9","Category2","Two-Year")</f>
        <v>0</v>
      </c>
      <c r="E148" s="33">
        <f>+GETPIVOTDATA(" Undergrad Contact Hour FTE - Old",'FTE Pivot for regular counts'!$A$2,"State","AL","Category","10","Category2","Two-Year")</f>
        <v>0</v>
      </c>
      <c r="F148" s="8">
        <f>+GETPIVOTDATA(" Undergrad Contact Hour FTE - Old",'FTE Pivot for regular counts'!$A$2,"State","AL","Category2","Two-Year")</f>
        <v>0</v>
      </c>
      <c r="G148" s="33">
        <f>+GETPIVOTDATA(" Undergrad Contact Hour FTE - Old",'FTE Pivot for regular counts'!$A$2,"State","AL","Category","12","Category2","Technical")</f>
        <v>0</v>
      </c>
      <c r="H148" s="131">
        <f>+GETPIVOTDATA(" Undergrad Contact Hour FTE - Old",'FTE Pivot for regular counts'!$A$2,"State","AL","Category","13","Category2","Technical")</f>
        <v>0</v>
      </c>
      <c r="I148" s="33">
        <f>+GETPIVOTDATA(" Undergrad Contact Hour FTE - Old",'FTE Pivot for regular counts'!$A$2,"State","AL","Category",14,"Category2","Technical")</f>
        <v>0</v>
      </c>
      <c r="J148" s="131">
        <f>+GETPIVOTDATA(" Undergrad Contact Hour FTE - Old",'FTE Pivot for regular counts'!$A$2,"State","AL","Category2","Technical")</f>
        <v>0</v>
      </c>
      <c r="K148" s="131"/>
      <c r="L148" s="131"/>
    </row>
    <row r="149" spans="1:19" ht="15" customHeight="1">
      <c r="A149" s="1" t="s">
        <v>432</v>
      </c>
      <c r="B149" s="33">
        <f>+GETPIVOTDATA(" Undergrad Contact Hour FTE - Old",'FTE Pivot for regular counts'!$A$2,"State","TN","Category","7","Category2","Two-Year")</f>
        <v>0</v>
      </c>
      <c r="C149" s="33">
        <f>+GETPIVOTDATA(" Undergrad Contact Hour FTE - Old",'FTE Pivot for regular counts'!$A$2,"State","TN","Category","8","Category2","Two-Year")</f>
        <v>0</v>
      </c>
      <c r="D149" s="33">
        <f>+GETPIVOTDATA(" Undergrad Contact Hour FTE - Old",'FTE Pivot for regular counts'!$A$2,"State","TN","Category","9","Category2","Two-Year")</f>
        <v>0</v>
      </c>
      <c r="E149" s="33">
        <f>+GETPIVOTDATA(" Undergrad Contact Hour FTE - Old",'FTE Pivot for regular counts'!$A$2,"State","TN","Category","10","Category2","Two-Year")</f>
        <v>0</v>
      </c>
      <c r="F149" s="8">
        <f>+GETPIVOTDATA(" Undergrad Contact Hour FTE - Old",'FTE Pivot for regular counts'!$A$2,"State","TN","Category2","Two-Year")</f>
        <v>0</v>
      </c>
      <c r="G149" s="33">
        <f>+GETPIVOTDATA(" Undergrad Contact Hour FTE - Old",'FTE Pivot for regular counts'!$A$2,"State","TN","Category","12","Category2","Technical")</f>
        <v>0</v>
      </c>
      <c r="H149" s="131">
        <f>+GETPIVOTDATA(" Undergrad Contact Hour FTE - Old",'FTE Pivot for regular counts'!$A$2,"State","TN","Category","13","Category2","Technical")</f>
        <v>11037.255555555552</v>
      </c>
      <c r="I149" s="33">
        <f>+GETPIVOTDATA(" Undergrad Contact Hour FTE - Old",'FTE Pivot for regular counts'!$A$2,"State","TN","Category",14,"Category2","Technical")</f>
        <v>0</v>
      </c>
      <c r="J149" s="131">
        <f>+GETPIVOTDATA(" Undergrad Contact Hour FTE - Old",'FTE Pivot for regular counts'!$A$2,"State","TN","Category2","Technical")</f>
        <v>11037.255555555552</v>
      </c>
      <c r="K149" s="131"/>
      <c r="L149" s="131"/>
    </row>
    <row r="150" spans="1:19" ht="15" customHeight="1">
      <c r="A150" s="1" t="s">
        <v>433</v>
      </c>
      <c r="B150" s="33">
        <f>+GETPIVOTDATA(" Undergrad Contact Hour FTE - Old",'FTE Pivot for regular counts'!$A$2,"State","TX","Category","7","Category2","Two-Year")</f>
        <v>432.57111111111112</v>
      </c>
      <c r="C150" s="33">
        <f>+GETPIVOTDATA(" Undergrad Contact Hour FTE - Old",'FTE Pivot for regular counts'!$A$2,"State","TX","Category","8","Category2","Two-Year")</f>
        <v>11184.095555555557</v>
      </c>
      <c r="D150" s="33">
        <f>+GETPIVOTDATA(" Undergrad Contact Hour FTE - Old",'FTE Pivot for regular counts'!$A$2,"State","TX","Category","9","Category2","Two-Year")</f>
        <v>7365.1255555555545</v>
      </c>
      <c r="E150" s="33">
        <f>+GETPIVOTDATA(" Undergrad Contact Hour FTE - Old",'FTE Pivot for regular counts'!$A$2,"State","TX","Category","10","Category2","Two-Year")</f>
        <v>1154.8200000000002</v>
      </c>
      <c r="F150" s="8">
        <f>+GETPIVOTDATA(" Undergrad Contact Hour FTE - Old",'FTE Pivot for regular counts'!$A$2,"State","TX","Category2","Two-Year")</f>
        <v>20136.612222222222</v>
      </c>
      <c r="G150" s="33">
        <f>+GETPIVOTDATA(" Undergrad Contact Hour FTE - Old",'FTE Pivot for regular counts'!$A$2,"State","TX","Category","12","Category2","Technical")</f>
        <v>0</v>
      </c>
      <c r="H150" s="131">
        <f>+GETPIVOTDATA(" Undergrad Contact Hour FTE - Old",'FTE Pivot for regular counts'!$A$2,"State","TX","Category","13","Category2","Technical")</f>
        <v>0</v>
      </c>
      <c r="I150" s="33">
        <f>+GETPIVOTDATA(" Undergrad Contact Hour FTE - Old",'FTE Pivot for regular counts'!$A$2,"State","TX","Category",14,"Category2","Technical")</f>
        <v>0</v>
      </c>
      <c r="J150" s="131">
        <f>+GETPIVOTDATA(" Undergrad Contact Hour FTE - Old",'FTE Pivot for regular counts'!$A$2,"State","TX","Category2","Technical")</f>
        <v>0</v>
      </c>
      <c r="K150" s="131"/>
      <c r="L150" s="131"/>
    </row>
    <row r="151" spans="1:19" ht="15" customHeight="1">
      <c r="A151" s="1" t="s">
        <v>434</v>
      </c>
      <c r="B151" s="33">
        <f>+GETPIVOTDATA(" Undergrad Contact Hour FTE - Old",'FTE Pivot for regular counts'!$A$2,"State","VA","Category","7","Category2","Two-Year")</f>
        <v>0</v>
      </c>
      <c r="C151" s="33">
        <f>+GETPIVOTDATA(" Undergrad Contact Hour FTE - Old",'FTE Pivot for regular counts'!$A$2,"State","VA","Category","8","Category2","Two-Year")</f>
        <v>0</v>
      </c>
      <c r="D151" s="33">
        <f>+GETPIVOTDATA(" Undergrad Contact Hour FTE - Old",'FTE Pivot for regular counts'!$A$2,"State","VA","Category","9","Category2","Two-Year")</f>
        <v>0</v>
      </c>
      <c r="E151" s="33">
        <f>+GETPIVOTDATA(" Undergrad Contact Hour FTE - Old",'FTE Pivot for regular counts'!$A$2,"State","VA","Category","10","Category2","Two-Year")</f>
        <v>0</v>
      </c>
      <c r="F151" s="8">
        <f>+GETPIVOTDATA(" Undergrad Contact Hour FTE - Old",'FTE Pivot for regular counts'!$A$2,"State","VA","Category2","Two-Year")</f>
        <v>0</v>
      </c>
      <c r="G151" s="33">
        <f>+GETPIVOTDATA(" Undergrad Contact Hour FTE - Old",'FTE Pivot for regular counts'!$A$2,"State","VA","Category","12","Category2","Technical")</f>
        <v>0</v>
      </c>
      <c r="H151" s="131">
        <f>+GETPIVOTDATA(" Undergrad Contact Hour FTE - Old",'FTE Pivot for regular counts'!$A$2,"State","VA","Category","13","Category2","Technical")</f>
        <v>0</v>
      </c>
      <c r="I151" s="33">
        <f>+GETPIVOTDATA(" Undergrad Contact Hour FTE - Old",'FTE Pivot for regular counts'!$A$2,"State","VA","Category",14,"Category2","Technical")</f>
        <v>0</v>
      </c>
      <c r="J151" s="131">
        <f>+GETPIVOTDATA(" Undergrad Contact Hour FTE - Old",'FTE Pivot for regular counts'!$A$2,"State","VA","Category2","Technical")</f>
        <v>0</v>
      </c>
      <c r="K151" s="131"/>
      <c r="L151" s="131"/>
    </row>
    <row r="152" spans="1:19" ht="15" customHeight="1">
      <c r="A152" s="3" t="s">
        <v>435</v>
      </c>
      <c r="B152" s="9">
        <f>+GETPIVOTDATA(" Undergrad Contact Hour FTE - Old",'FTE Pivot for regular counts'!$A$2,"State","WV","Category","7","Category2","Two-Year")</f>
        <v>0</v>
      </c>
      <c r="C152" s="9">
        <f>+GETPIVOTDATA(" Undergrad Contact Hour FTE - Old",'FTE Pivot for regular counts'!$A$2,"State","WV","Category","8","Category2","Two-Year")</f>
        <v>0</v>
      </c>
      <c r="D152" s="9">
        <f>+GETPIVOTDATA(" Undergrad Contact Hour FTE - Old",'FTE Pivot for regular counts'!$A$2,"State","WV","Category","9","Category2","Two-Year")</f>
        <v>0</v>
      </c>
      <c r="E152" s="9">
        <f>+GETPIVOTDATA(" Undergrad Contact Hour FTE - Old",'FTE Pivot for regular counts'!$A$2,"State","WV","Category","10","Category2","Two-Year")</f>
        <v>0</v>
      </c>
      <c r="F152" s="10">
        <f>+GETPIVOTDATA(" Undergrad Contact Hour FTE - Old",'FTE Pivot for regular counts'!$A$2,"State","WV","Category2","Two-Year")</f>
        <v>0</v>
      </c>
      <c r="G152" s="9">
        <f>+GETPIVOTDATA(" Undergrad Contact Hour FTE - Old",'FTE Pivot for regular counts'!$A$2,"State","WV","Category","12","Category2","Technical")</f>
        <v>0</v>
      </c>
      <c r="H152" s="132">
        <f>+GETPIVOTDATA(" Undergrad Contact Hour FTE - Old",'FTE Pivot for regular counts'!$A$2,"State","WV","Category","13","Category2","Technical")</f>
        <v>0</v>
      </c>
      <c r="I152" s="9">
        <f>+GETPIVOTDATA(" Undergrad Contact Hour FTE - Old",'FTE Pivot for regular counts'!$A$2,"State","WV","Category",14,"Category2","Technical")</f>
        <v>0</v>
      </c>
      <c r="J152" s="132">
        <f>+GETPIVOTDATA(" Undergrad Contact Hour FTE - Old",'FTE Pivot for regular counts'!$A$2,"State","WV","Category2","Technical")</f>
        <v>0</v>
      </c>
      <c r="K152" s="131"/>
      <c r="L152" s="131"/>
    </row>
    <row r="153" spans="1:19" s="25" customFormat="1" ht="9.9499999999999993" customHeight="1">
      <c r="A153" s="77"/>
      <c r="B153" s="16"/>
      <c r="C153" s="16"/>
      <c r="D153" s="16"/>
      <c r="E153" s="16"/>
      <c r="F153" s="16"/>
      <c r="G153" s="16"/>
      <c r="H153" s="121"/>
      <c r="I153" s="16"/>
      <c r="J153" s="121"/>
      <c r="K153" s="115"/>
      <c r="L153" s="115"/>
    </row>
    <row r="154" spans="1:19" ht="34.5" customHeight="1">
      <c r="A154" s="793" t="s">
        <v>79</v>
      </c>
      <c r="B154" s="793"/>
      <c r="C154" s="793"/>
      <c r="D154" s="793"/>
      <c r="E154" s="793"/>
      <c r="F154" s="793"/>
      <c r="G154" s="793"/>
      <c r="H154" s="793"/>
      <c r="I154" s="793"/>
      <c r="J154" s="793"/>
      <c r="K154" s="658"/>
      <c r="L154" s="658"/>
      <c r="M154" s="1"/>
    </row>
    <row r="155" spans="1:19">
      <c r="J155" s="307" t="s">
        <v>876</v>
      </c>
      <c r="K155" s="307"/>
      <c r="L155" s="307"/>
      <c r="M155" s="1"/>
    </row>
    <row r="156" spans="1:19" s="4" customFormat="1" ht="18">
      <c r="A156" s="127" t="s">
        <v>977</v>
      </c>
      <c r="B156" s="127"/>
      <c r="C156" s="127"/>
      <c r="D156" s="127"/>
      <c r="E156" s="127"/>
      <c r="F156" s="127"/>
      <c r="G156" s="127"/>
      <c r="H156" s="127"/>
      <c r="I156" s="127"/>
      <c r="J156" s="127"/>
      <c r="K156" s="127"/>
      <c r="L156" s="315"/>
      <c r="P156" s="1"/>
      <c r="Q156" s="1"/>
      <c r="R156" s="1"/>
      <c r="S156" s="1"/>
    </row>
    <row r="157" spans="1:19" ht="12" customHeight="1">
      <c r="A157" s="21"/>
      <c r="B157" s="21"/>
      <c r="C157" s="21"/>
      <c r="D157" s="21"/>
      <c r="E157" s="21"/>
      <c r="F157" s="21"/>
      <c r="G157" s="21"/>
      <c r="H157" s="117"/>
      <c r="I157" s="21"/>
      <c r="J157" s="117"/>
      <c r="K157" s="117"/>
      <c r="L157" s="117"/>
      <c r="M157" s="1"/>
    </row>
    <row r="158" spans="1:19" ht="15.75">
      <c r="A158" s="44" t="s">
        <v>388</v>
      </c>
      <c r="B158" s="44"/>
      <c r="C158" s="44"/>
      <c r="D158" s="44"/>
      <c r="E158" s="44"/>
      <c r="F158" s="44"/>
      <c r="G158" s="44"/>
      <c r="H158" s="44"/>
      <c r="I158" s="44"/>
      <c r="J158" s="44"/>
      <c r="K158" s="44"/>
      <c r="L158" s="660"/>
      <c r="M158" s="1"/>
    </row>
    <row r="159" spans="1:19" ht="15.75">
      <c r="A159" s="44" t="s">
        <v>965</v>
      </c>
      <c r="B159" s="44"/>
      <c r="C159" s="44"/>
      <c r="D159" s="44"/>
      <c r="E159" s="44"/>
      <c r="F159" s="44"/>
      <c r="G159" s="44"/>
      <c r="H159" s="44"/>
      <c r="I159" s="44"/>
      <c r="J159" s="44"/>
      <c r="K159" s="44"/>
      <c r="L159" s="660"/>
      <c r="M159" s="344"/>
    </row>
    <row r="160" spans="1:19">
      <c r="B160" s="2"/>
      <c r="C160" s="2"/>
      <c r="D160" s="2"/>
      <c r="E160" s="309"/>
      <c r="F160" s="2"/>
      <c r="G160" s="309"/>
      <c r="H160" s="351"/>
      <c r="I160" s="309"/>
      <c r="J160" s="351"/>
      <c r="K160" s="351"/>
      <c r="L160" s="351"/>
      <c r="M160" s="351"/>
      <c r="N160" s="3"/>
      <c r="O160" s="3"/>
    </row>
    <row r="161" spans="1:19" ht="15" customHeight="1">
      <c r="A161" s="46"/>
      <c r="B161" s="392" t="s">
        <v>501</v>
      </c>
      <c r="C161" s="66"/>
      <c r="D161" s="310">
        <v>1</v>
      </c>
      <c r="F161" s="355">
        <v>2</v>
      </c>
      <c r="H161" s="355">
        <v>3</v>
      </c>
      <c r="J161" s="355" t="s">
        <v>382</v>
      </c>
      <c r="K161" s="353"/>
    </row>
    <row r="162" spans="1:19" ht="75.75" customHeight="1">
      <c r="A162" s="352"/>
      <c r="B162" s="353" t="s">
        <v>605</v>
      </c>
      <c r="C162" s="304" t="s">
        <v>72</v>
      </c>
      <c r="D162" s="354" t="s">
        <v>605</v>
      </c>
      <c r="E162" s="304" t="s">
        <v>72</v>
      </c>
      <c r="F162" s="354" t="s">
        <v>605</v>
      </c>
      <c r="G162" s="304" t="s">
        <v>72</v>
      </c>
      <c r="H162" s="354" t="s">
        <v>605</v>
      </c>
      <c r="I162" s="304" t="s">
        <v>72</v>
      </c>
      <c r="J162" s="354" t="s">
        <v>605</v>
      </c>
      <c r="K162" s="304" t="s">
        <v>72</v>
      </c>
    </row>
    <row r="163" spans="1:19">
      <c r="A163" s="1" t="s">
        <v>420</v>
      </c>
      <c r="B163" s="7">
        <f>+'OLD Tables 44-50'!B101+'OLD Tables 44-50'!B132</f>
        <v>125051.19777777779</v>
      </c>
      <c r="D163" s="311">
        <f>+'OLD Tables 44-50'!C101+'OLD Tables 44-50'!C132</f>
        <v>858078.77711111133</v>
      </c>
      <c r="F163" s="311">
        <f>+'OLD Tables 44-50'!D101+'OLD Tables 44-50'!D132</f>
        <v>508880.35833333334</v>
      </c>
      <c r="H163" s="313">
        <f>+'OLD Tables 44-50'!E101+'OLD Tables 44-50'!E132</f>
        <v>145727.51077777782</v>
      </c>
      <c r="J163" s="311">
        <f>+'OLD Tables 44-50'!F101+'OLD Tables 44-50'!F132</f>
        <v>1637737.8439999998</v>
      </c>
      <c r="K163" s="1"/>
      <c r="L163" s="4" t="s">
        <v>380</v>
      </c>
      <c r="P163" s="76"/>
      <c r="Q163" s="76"/>
      <c r="R163" s="76"/>
      <c r="S163" s="76"/>
    </row>
    <row r="164" spans="1:19" s="76" customFormat="1" ht="10.5" customHeight="1">
      <c r="A164" s="653"/>
      <c r="B164" s="654"/>
      <c r="C164" s="649" t="s">
        <v>939</v>
      </c>
      <c r="D164" s="650" t="s">
        <v>380</v>
      </c>
      <c r="E164" s="649" t="s">
        <v>940</v>
      </c>
      <c r="F164" s="650" t="s">
        <v>380</v>
      </c>
      <c r="G164" s="651" t="s">
        <v>941</v>
      </c>
      <c r="H164" s="652" t="s">
        <v>380</v>
      </c>
      <c r="I164" s="651" t="s">
        <v>942</v>
      </c>
      <c r="J164" s="652" t="s">
        <v>380</v>
      </c>
      <c r="K164" s="649" t="s">
        <v>943</v>
      </c>
      <c r="L164" s="76" t="s">
        <v>380</v>
      </c>
      <c r="P164" s="1"/>
      <c r="Q164" s="1"/>
      <c r="R164" s="1"/>
      <c r="S164" s="1"/>
    </row>
    <row r="165" spans="1:19" ht="15" customHeight="1">
      <c r="A165" s="1" t="s">
        <v>421</v>
      </c>
      <c r="B165" s="7">
        <f>+'OLD Tables 44-50'!B103+'OLD Tables 44-50'!B134</f>
        <v>0</v>
      </c>
      <c r="C165" s="108">
        <f>+GETPIVOTDATA("Sum of Old-HS % of Total",'Pivot-HS Student % of Undergrad'!$A$3,"State","AL","Category",7,"Category2","Two-Year")</f>
        <v>0</v>
      </c>
      <c r="D165" s="311">
        <f>+'OLD Tables 44-50'!C103+'OLD Tables 44-50'!C134</f>
        <v>12510.366666666665</v>
      </c>
      <c r="E165" s="108">
        <f>+GETPIVOTDATA("Sum of Old-HS % of Total",'Pivot-HS Student % of Undergrad'!$A$3,"State","AL","Category",8,"Category2","Two-Year")</f>
        <v>0</v>
      </c>
      <c r="F165" s="311">
        <f>+'OLD Tables 44-50'!D103+'OLD Tables 44-50'!D134</f>
        <v>35622.333333333336</v>
      </c>
      <c r="G165" s="108">
        <f>+GETPIVOTDATA("Sum of Old-HS % of Total",'Pivot-HS Student % of Undergrad'!$A$3,"State","AL","Category",9,"Category2","Two-Year")</f>
        <v>0</v>
      </c>
      <c r="H165" s="311">
        <f>+'OLD Tables 44-50'!E103+'OLD Tables 44-50'!E134</f>
        <v>14533.866666666669</v>
      </c>
      <c r="I165" s="108">
        <f>+GETPIVOTDATA("Sum of Old-HS % of Total",'Pivot-HS Student % of Undergrad'!$A$3,"State","AL","Category",10,"Category2","Two-Year")</f>
        <v>0</v>
      </c>
      <c r="J165" s="311">
        <f>+'OLD Tables 44-50'!F103+'OLD Tables 44-50'!F134</f>
        <v>62666.566666666666</v>
      </c>
      <c r="K165" s="108">
        <f>+GETPIVOTDATA("Sum of Old-HS % of Total",'Pivot-HS Student % of Undergrad'!$A$3,"State","AL","Category2","Group2")</f>
        <v>0</v>
      </c>
    </row>
    <row r="166" spans="1:19" ht="15" customHeight="1">
      <c r="A166" s="1" t="s">
        <v>422</v>
      </c>
      <c r="B166" s="33">
        <f>+'OLD Tables 44-50'!B104+'OLD Tables 44-50'!B135</f>
        <v>0</v>
      </c>
      <c r="C166" s="108">
        <f>+GETPIVOTDATA("Sum of Old-HS % of Total",'Pivot-HS Student % of Undergrad'!$A$3,"State","AR","Category",7,"Category2","Two-Year")</f>
        <v>0</v>
      </c>
      <c r="D166" s="311">
        <f>+'OLD Tables 44-50'!C104+'OLD Tables 44-50'!C135</f>
        <v>6341.166666666667</v>
      </c>
      <c r="E166" s="108">
        <f>+GETPIVOTDATA("Sum of Old-HS % of Total",'Pivot-HS Student % of Undergrad'!$A$3,"State","AR","Category",8,"Category2","Two-Year")</f>
        <v>1.5901385128919494E-2</v>
      </c>
      <c r="F166" s="311">
        <f>+'OLD Tables 44-50'!D104+'OLD Tables 44-50'!D135</f>
        <v>7718.1666666666661</v>
      </c>
      <c r="G166" s="108">
        <f>+GETPIVOTDATA("Sum of Old-HS % of Total",'Pivot-HS Student % of Undergrad'!$A$3,"State","AR","Category",9,"Category2","Two-Year")</f>
        <v>5.5790451100218102E-2</v>
      </c>
      <c r="H166" s="311">
        <f>+'OLD Tables 44-50'!E104+'OLD Tables 44-50'!E135</f>
        <v>22681.599999999999</v>
      </c>
      <c r="I166" s="108">
        <f>+GETPIVOTDATA("Sum of Old-HS % of Total",'Pivot-HS Student % of Undergrad'!$A$3,"State","AR","Category",10,"Category2","Two-Year")</f>
        <v>7.7218244450714818E-2</v>
      </c>
      <c r="J166" s="311">
        <f>+'OLD Tables 44-50'!F104+'OLD Tables 44-50'!F135</f>
        <v>36740.933333333334</v>
      </c>
      <c r="K166" s="108">
        <f>+GETPIVOTDATA("Sum of Old-HS % of Total",'Pivot-HS Student % of Undergrad'!$A$3,"State","AR","Category2","Group2")</f>
        <v>6.2134150103245425E-2</v>
      </c>
    </row>
    <row r="167" spans="1:19" ht="15" customHeight="1">
      <c r="A167" s="1" t="s">
        <v>459</v>
      </c>
      <c r="B167" s="33">
        <f>+'OLD Tables 44-50'!B105+'OLD Tables 44-50'!B136</f>
        <v>0</v>
      </c>
      <c r="C167" s="108">
        <f>+GETPIVOTDATA("Sum of Old-HS % of Total",'Pivot-HS Student % of Undergrad'!$A$3,"State","DE","Category",7,"Category2","Two-Year")</f>
        <v>0</v>
      </c>
      <c r="D167" s="311">
        <f>+'OLD Tables 44-50'!C105+'OLD Tables 44-50'!C136</f>
        <v>0</v>
      </c>
      <c r="E167" s="108">
        <f>+GETPIVOTDATA("Sum of Old-HS % of Total",'Pivot-HS Student % of Undergrad'!$A$3,"State","DE","Category",8,"Category2","Two-Year")</f>
        <v>0</v>
      </c>
      <c r="F167" s="311">
        <f>+'OLD Tables 44-50'!D105+'OLD Tables 44-50'!D136</f>
        <v>9642.5666666666657</v>
      </c>
      <c r="G167" s="108">
        <f>+GETPIVOTDATA("Sum of Old-HS % of Total",'Pivot-HS Student % of Undergrad'!$A$3,"State","DE","Category",9,"Category2","Two-Year")</f>
        <v>7.9508567912416127E-4</v>
      </c>
      <c r="H167" s="311">
        <f>+'OLD Tables 44-50'!E105+'OLD Tables 44-50'!E136</f>
        <v>0</v>
      </c>
      <c r="I167" s="108">
        <f>+GETPIVOTDATA("Sum of Old-HS % of Total",'Pivot-HS Student % of Undergrad'!$A$3,"State","DE","Category",10,"Category2","Two-Year")</f>
        <v>0</v>
      </c>
      <c r="J167" s="311">
        <f>+'OLD Tables 44-50'!F105+'OLD Tables 44-50'!F136</f>
        <v>9642.5666666666657</v>
      </c>
      <c r="K167" s="108">
        <f>+GETPIVOTDATA("Sum of Old-HS % of Total",'Pivot-HS Student % of Undergrad'!$A$3,"State","DE","Category2","Group2")</f>
        <v>7.9508567912416127E-4</v>
      </c>
    </row>
    <row r="168" spans="1:19" ht="15" customHeight="1">
      <c r="A168" s="1" t="s">
        <v>423</v>
      </c>
      <c r="B168" s="33">
        <f>+'OLD Tables 44-50'!B106+'OLD Tables 44-50'!B137</f>
        <v>93253.726666666669</v>
      </c>
      <c r="C168" s="108">
        <f>+GETPIVOTDATA("Sum of Old-HS % of Total",'Pivot-HS Student % of Undergrad'!$A$3,"State","FL","Category",7,"Category2","Two-Year")</f>
        <v>7.0821865908730257E-3</v>
      </c>
      <c r="D168" s="311">
        <f>+'OLD Tables 44-50'!C106+'OLD Tables 44-50'!C137</f>
        <v>205362.64888888889</v>
      </c>
      <c r="E168" s="108">
        <f>+GETPIVOTDATA("Sum of Old-HS % of Total",'Pivot-HS Student % of Undergrad'!$A$3,"State","FL","Category",8,"Category2","Two-Year")</f>
        <v>1.5741963196718663E-2</v>
      </c>
      <c r="F168" s="311">
        <f>+'OLD Tables 44-50'!D106+'OLD Tables 44-50'!D137</f>
        <v>21971.887777777782</v>
      </c>
      <c r="G168" s="108">
        <f>+GETPIVOTDATA("Sum of Old-HS % of Total",'Pivot-HS Student % of Undergrad'!$A$3,"State","FL","Category",9,"Category2","Two-Year")</f>
        <v>4.7505125929552895E-2</v>
      </c>
      <c r="H168" s="311">
        <f>+'OLD Tables 44-50'!E106+'OLD Tables 44-50'!E137</f>
        <v>1778.9911111111112</v>
      </c>
      <c r="I168" s="108">
        <f>+GETPIVOTDATA("Sum of Old-HS % of Total",'Pivot-HS Student % of Undergrad'!$A$3,"State","FL","Category",10,"Category2","Two-Year")</f>
        <v>2.3788800708956108E-2</v>
      </c>
      <c r="J168" s="311">
        <f>+'OLD Tables 44-50'!F106+'OLD Tables 44-50'!F137</f>
        <v>322367.25444444444</v>
      </c>
      <c r="K168" s="108">
        <f>+GETPIVOTDATA("Sum of Old-HS % of Total",'Pivot-HS Student % of Undergrad'!$A$3,"State","FL","Category2","Group2")</f>
        <v>1.5665108939997986E-2</v>
      </c>
    </row>
    <row r="169" spans="1:19" ht="15" customHeight="1">
      <c r="B169" s="33"/>
      <c r="C169" s="108"/>
      <c r="D169" s="311"/>
      <c r="E169" s="108"/>
      <c r="F169" s="311"/>
      <c r="G169" s="108"/>
      <c r="H169" s="311"/>
      <c r="I169" s="108"/>
      <c r="J169" s="311"/>
      <c r="K169" s="108"/>
    </row>
    <row r="170" spans="1:19" ht="15" customHeight="1">
      <c r="A170" s="1" t="s">
        <v>424</v>
      </c>
      <c r="B170" s="33">
        <f>+'OLD Tables 44-50'!B108+'OLD Tables 44-50'!B139</f>
        <v>3503.7333333333331</v>
      </c>
      <c r="C170" s="108">
        <f>+GETPIVOTDATA("Sum of Old-HS % of Total",'Pivot-HS Student % of Undergrad'!$A$3,"State","GA","Category",7,"Category2","Two-Year")</f>
        <v>8.6193774259837128E-3</v>
      </c>
      <c r="D170" s="311">
        <f>+'OLD Tables 44-50'!C108+'OLD Tables 44-50'!C139</f>
        <v>16582.099999999999</v>
      </c>
      <c r="E170" s="108">
        <f>+GETPIVOTDATA("Sum of Old-HS % of Total",'Pivot-HS Student % of Undergrad'!$A$3,"State","GA","Category",8,"Category2","Two-Year")</f>
        <v>1.8755163700616931E-2</v>
      </c>
      <c r="F170" s="311">
        <f>+'OLD Tables 44-50'!D108+'OLD Tables 44-50'!D139</f>
        <v>26468.216666666671</v>
      </c>
      <c r="G170" s="108">
        <f>+GETPIVOTDATA("Sum of Old-HS % of Total",'Pivot-HS Student % of Undergrad'!$A$3,"State","GA","Category",9,"Category2","Two-Year")</f>
        <v>1.4579750682107408E-2</v>
      </c>
      <c r="H170" s="311">
        <f>+'OLD Tables 44-50'!E108+'OLD Tables 44-50'!E139</f>
        <v>5904.4333333333334</v>
      </c>
      <c r="I170" s="108">
        <f>+GETPIVOTDATA("Sum of Old-HS % of Total",'Pivot-HS Student % of Undergrad'!$A$3,"State","GA","Category",10,"Category2","Two-Year")</f>
        <v>8.1464210508487966E-3</v>
      </c>
      <c r="J170" s="311">
        <f>+'OLD Tables 44-50'!F108+'OLD Tables 44-50'!F139</f>
        <v>52458.483333333337</v>
      </c>
      <c r="K170" s="108">
        <f>+GETPIVOTDATA("Sum of Old-HS % of Total",'Pivot-HS Student % of Undergrad'!$A$3,"State","GA","Category2","Group2")</f>
        <v>1.4777400159936E-2</v>
      </c>
    </row>
    <row r="171" spans="1:19" ht="15" customHeight="1">
      <c r="A171" s="1" t="s">
        <v>425</v>
      </c>
      <c r="B171" s="33">
        <f>+'OLD Tables 44-50'!B109+'OLD Tables 44-50'!B140</f>
        <v>0</v>
      </c>
      <c r="C171" s="108">
        <f>+GETPIVOTDATA("Sum of Old-HS % of Total",'Pivot-HS Student % of Undergrad'!$A$3,"State","KY","Category",7,"Category2","Two-Year")</f>
        <v>0</v>
      </c>
      <c r="D171" s="311">
        <f>+'OLD Tables 44-50'!C109+'OLD Tables 44-50'!C140</f>
        <v>15828.433333333334</v>
      </c>
      <c r="E171" s="108">
        <f>+GETPIVOTDATA("Sum of Old-HS % of Total",'Pivot-HS Student % of Undergrad'!$A$3,"State","KY","Category",8,"Category2","Two-Year")</f>
        <v>3.79022560666143E-2</v>
      </c>
      <c r="F171" s="311">
        <f>+'OLD Tables 44-50'!D109+'OLD Tables 44-50'!D140</f>
        <v>24056.033333333333</v>
      </c>
      <c r="G171" s="108">
        <f>+GETPIVOTDATA("Sum of Old-HS % of Total",'Pivot-HS Student % of Undergrad'!$A$3,"State","KY","Category",9,"Category2","Two-Year")</f>
        <v>8.2285663610376328E-2</v>
      </c>
      <c r="H171" s="311">
        <f>+'OLD Tables 44-50'!E109+'OLD Tables 44-50'!E140</f>
        <v>4960</v>
      </c>
      <c r="I171" s="108">
        <f>+GETPIVOTDATA("Sum of Old-HS % of Total",'Pivot-HS Student % of Undergrad'!$A$3,"State","KY","Category",10,"Category2","Two-Year")</f>
        <v>4.645161290322581E-2</v>
      </c>
      <c r="J171" s="311">
        <f>+'OLD Tables 44-50'!F109+'OLD Tables 44-50'!F140</f>
        <v>44844.466666666667</v>
      </c>
      <c r="K171" s="108">
        <f>+GETPIVOTDATA("Sum of Old-HS % of Total",'Pivot-HS Student % of Undergrad'!$A$3,"State","KY","Category2","Group2")</f>
        <v>6.2656559635005132E-2</v>
      </c>
    </row>
    <row r="172" spans="1:19" ht="15" customHeight="1">
      <c r="A172" s="1" t="s">
        <v>426</v>
      </c>
      <c r="B172" s="33">
        <f>+'OLD Tables 44-50'!B110+'OLD Tables 44-50'!B141</f>
        <v>1937.5333333333333</v>
      </c>
      <c r="C172" s="108">
        <f>+GETPIVOTDATA("Sum of Old-HS % of Total",'Pivot-HS Student % of Undergrad'!$A$3,"State","LA","Category",7,"Category2","Two-Year")</f>
        <v>7.222241337783436E-2</v>
      </c>
      <c r="D172" s="311">
        <f>+'OLD Tables 44-50'!C110+'OLD Tables 44-50'!C141</f>
        <v>9691.4666666666672</v>
      </c>
      <c r="E172" s="108">
        <f>+GETPIVOTDATA("Sum of Old-HS % of Total",'Pivot-HS Student % of Undergrad'!$A$3,"State","LA","Category",8,"Category2","Two-Year")</f>
        <v>4.7670803180805106E-3</v>
      </c>
      <c r="F172" s="311">
        <f>+'OLD Tables 44-50'!D110+'OLD Tables 44-50'!D141</f>
        <v>10613</v>
      </c>
      <c r="G172" s="108">
        <f>+GETPIVOTDATA("Sum of Old-HS % of Total",'Pivot-HS Student % of Undergrad'!$A$3,"State","LA","Category",9,"Category2","Two-Year")</f>
        <v>2.4331794340274507E-2</v>
      </c>
      <c r="H172" s="311">
        <f>+'OLD Tables 44-50'!E110+'OLD Tables 44-50'!E141</f>
        <v>6680.4</v>
      </c>
      <c r="I172" s="108">
        <f>+GETPIVOTDATA("Sum of Old-HS % of Total",'Pivot-HS Student % of Undergrad'!$A$3,"State","LA","Category",10,"Category2","Two-Year")</f>
        <v>6.9856096441330853E-2</v>
      </c>
      <c r="J172" s="311">
        <f>+'OLD Tables 44-50'!F110+'OLD Tables 44-50'!F141</f>
        <v>28922.400000000001</v>
      </c>
      <c r="K172" s="108">
        <f>+GETPIVOTDATA("Sum of Old-HS % of Total",'Pivot-HS Student % of Undergrad'!$A$3,"State","LA","Category2","Group2")</f>
        <v>3.1499230123825592E-2</v>
      </c>
    </row>
    <row r="173" spans="1:19" ht="15" customHeight="1">
      <c r="A173" s="1" t="s">
        <v>427</v>
      </c>
      <c r="B173" s="33">
        <f>+'OLD Tables 44-50'!B111+'OLD Tables 44-50'!B142</f>
        <v>0</v>
      </c>
      <c r="C173" s="108">
        <f>+GETPIVOTDATA("Sum of Old-HS % of Total",'Pivot-HS Student % of Undergrad'!$A$3,"State","MD","Category",7,"Category2","Two-Year")</f>
        <v>0</v>
      </c>
      <c r="D173" s="311">
        <f>+'OLD Tables 44-50'!C111+'OLD Tables 44-50'!C142</f>
        <v>47629.51666666667</v>
      </c>
      <c r="E173" s="108">
        <f>+GETPIVOTDATA("Sum of Old-HS % of Total",'Pivot-HS Student % of Undergrad'!$A$3,"State","MD","Category",8,"Category2","Two-Year")</f>
        <v>0</v>
      </c>
      <c r="F173" s="311">
        <f>+'OLD Tables 44-50'!D111+'OLD Tables 44-50'!D142</f>
        <v>26577.733333333334</v>
      </c>
      <c r="G173" s="108">
        <f>+GETPIVOTDATA("Sum of Old-HS % of Total",'Pivot-HS Student % of Undergrad'!$A$3,"State","MD","Category",9,"Category2","Two-Year")</f>
        <v>0</v>
      </c>
      <c r="H173" s="311">
        <f>+'OLD Tables 44-50'!E111+'OLD Tables 44-50'!E142</f>
        <v>8075.9833333333336</v>
      </c>
      <c r="I173" s="108">
        <f>+GETPIVOTDATA("Sum of Old-HS % of Total",'Pivot-HS Student % of Undergrad'!$A$3,"State","MD","Category",10,"Category2","Two-Year")</f>
        <v>0</v>
      </c>
      <c r="J173" s="311">
        <f>+'OLD Tables 44-50'!F111+'OLD Tables 44-50'!F142</f>
        <v>82283.233333333337</v>
      </c>
      <c r="K173" s="108">
        <f>+GETPIVOTDATA("Sum of Old-HS % of Total",'Pivot-HS Student % of Undergrad'!$A$3,"State","MD","Category2","Group2")</f>
        <v>0</v>
      </c>
    </row>
    <row r="174" spans="1:19" ht="15" customHeight="1">
      <c r="B174" s="33"/>
      <c r="C174" s="108"/>
      <c r="D174" s="311"/>
      <c r="E174" s="108"/>
      <c r="F174" s="311"/>
      <c r="G174" s="108"/>
      <c r="H174" s="311"/>
      <c r="I174" s="108"/>
      <c r="J174" s="311"/>
      <c r="K174" s="108"/>
    </row>
    <row r="175" spans="1:19" ht="15" customHeight="1">
      <c r="A175" s="1" t="s">
        <v>428</v>
      </c>
      <c r="B175" s="33">
        <f>+'OLD Tables 44-50'!B113+'OLD Tables 44-50'!B144</f>
        <v>0</v>
      </c>
      <c r="C175" s="108">
        <f>+GETPIVOTDATA("Sum of Old-HS % of Total",'Pivot-HS Student % of Undergrad'!$A$3,"State","MS","Category",7,"Category2","Two-Year")</f>
        <v>0</v>
      </c>
      <c r="D175" s="311">
        <f>+'OLD Tables 44-50'!C113+'OLD Tables 44-50'!C144</f>
        <v>21342.799999999999</v>
      </c>
      <c r="E175" s="108">
        <f>+GETPIVOTDATA("Sum of Old-HS % of Total",'Pivot-HS Student % of Undergrad'!$A$3,"State","MS","Category",8,"Category2","Two-Year")</f>
        <v>7.9886425398729317E-3</v>
      </c>
      <c r="F175" s="311">
        <f>+'OLD Tables 44-50'!D113+'OLD Tables 44-50'!D144</f>
        <v>34138.933333333334</v>
      </c>
      <c r="G175" s="108">
        <f>+GETPIVOTDATA("Sum of Old-HS % of Total",'Pivot-HS Student % of Undergrad'!$A$3,"State","MS","Category",9,"Category2","Two-Year")</f>
        <v>7.6510884932940691E-3</v>
      </c>
      <c r="H175" s="311">
        <f>+'OLD Tables 44-50'!E113+'OLD Tables 44-50'!E144</f>
        <v>3109.9333333333334</v>
      </c>
      <c r="I175" s="108">
        <f>+GETPIVOTDATA("Sum of Old-HS % of Total",'Pivot-HS Student % of Undergrad'!$A$3,"State","MS","Category",10,"Category2","Two-Year")</f>
        <v>1.388025466783854E-2</v>
      </c>
      <c r="J175" s="311">
        <f>+'OLD Tables 44-50'!F113+'OLD Tables 44-50'!F144</f>
        <v>58591.666666666672</v>
      </c>
      <c r="K175" s="108">
        <f>+GETPIVOTDATA("Sum of Old-HS % of Total",'Pivot-HS Student % of Undergrad'!$A$3,"State","MS","Category2","Group2")</f>
        <v>8.1046792774854218E-3</v>
      </c>
    </row>
    <row r="176" spans="1:19" ht="15" customHeight="1">
      <c r="A176" s="1" t="s">
        <v>429</v>
      </c>
      <c r="B176" s="33">
        <f>+'OLD Tables 44-50'!B114+'OLD Tables 44-50'!B145</f>
        <v>0</v>
      </c>
      <c r="C176" s="108">
        <f>+GETPIVOTDATA("Sum of Old-HS % of Total",'Pivot-HS Student % of Undergrad'!$A$3,"State","NC","Category",7,"Category2","Two-Year")</f>
        <v>0</v>
      </c>
      <c r="D176" s="311">
        <f>+'OLD Tables 44-50'!C114+'OLD Tables 44-50'!C145</f>
        <v>105422</v>
      </c>
      <c r="E176" s="108">
        <f>+GETPIVOTDATA("Sum of Old-HS % of Total",'Pivot-HS Student % of Undergrad'!$A$3,"State","NC","Category",8,"Category2","Two-Year")</f>
        <v>2.8094799946880154E-2</v>
      </c>
      <c r="F176" s="311">
        <f>+'OLD Tables 44-50'!D114+'OLD Tables 44-50'!D145</f>
        <v>107798</v>
      </c>
      <c r="G176" s="108">
        <f>+GETPIVOTDATA("Sum of Old-HS % of Total",'Pivot-HS Student % of Undergrad'!$A$3,"State","NC","Category",9,"Category2","Two-Year")</f>
        <v>5.9737100873856655E-2</v>
      </c>
      <c r="H176" s="311">
        <f>+'OLD Tables 44-50'!E114+'OLD Tables 44-50'!E145</f>
        <v>18517</v>
      </c>
      <c r="I176" s="108">
        <f>+GETPIVOTDATA("Sum of Old-HS % of Total",'Pivot-HS Student % of Undergrad'!$A$3,"State","NC","Category",10,"Category2","Two-Year")</f>
        <v>5.1115731489982184E-2</v>
      </c>
      <c r="J176" s="311">
        <f>+'OLD Tables 44-50'!F114+'OLD Tables 44-50'!F145</f>
        <v>231737</v>
      </c>
      <c r="K176" s="108">
        <f>+GETPIVOTDATA("Sum of Old-HS % of Total",'Pivot-HS Student % of Undergrad'!$A$3,"State","NC","Category2","Group2")</f>
        <v>4.4653464919283521E-2</v>
      </c>
    </row>
    <row r="177" spans="1:19" ht="15" customHeight="1">
      <c r="A177" s="1" t="s">
        <v>430</v>
      </c>
      <c r="B177" s="33">
        <f>+'OLD Tables 44-50'!B115+'OLD Tables 44-50'!B146</f>
        <v>2935.6</v>
      </c>
      <c r="C177" s="108">
        <f>+GETPIVOTDATA("Sum of Old-HS % of Total",'Pivot-HS Student % of Undergrad'!$A$3,"State","OK","Category",7,"Category2","Two-Year")</f>
        <v>1.1968024708180043E-2</v>
      </c>
      <c r="D177" s="311">
        <f>+'OLD Tables 44-50'!C115+'OLD Tables 44-50'!C146</f>
        <v>19308.033333333333</v>
      </c>
      <c r="E177" s="108">
        <f>+GETPIVOTDATA("Sum of Old-HS % of Total",'Pivot-HS Student % of Undergrad'!$A$3,"State","OK","Category",8,"Category2","Two-Year")</f>
        <v>2.2327494082773836E-2</v>
      </c>
      <c r="F177" s="311">
        <f>+'OLD Tables 44-50'!D115+'OLD Tables 44-50'!D146</f>
        <v>11911.066666666666</v>
      </c>
      <c r="G177" s="108">
        <f>+GETPIVOTDATA("Sum of Old-HS % of Total",'Pivot-HS Student % of Undergrad'!$A$3,"State","OK","Category",9,"Category2","Two-Year")</f>
        <v>2.08825406064948E-2</v>
      </c>
      <c r="H177" s="311">
        <f>+'OLD Tables 44-50'!E115+'OLD Tables 44-50'!E146</f>
        <v>12074.1</v>
      </c>
      <c r="I177" s="108">
        <f>+GETPIVOTDATA("Sum of Old-HS % of Total",'Pivot-HS Student % of Undergrad'!$A$3,"State","OK","Category",10,"Category2","Two-Year")</f>
        <v>4.2426902764319215E-2</v>
      </c>
      <c r="J177" s="311">
        <f>+'OLD Tables 44-50'!F115+'OLD Tables 44-50'!F146</f>
        <v>46228.799999999996</v>
      </c>
      <c r="K177" s="108">
        <f>+GETPIVOTDATA("Sum of Old-HS % of Total",'Pivot-HS Student % of Undergrad'!$A$3,"State","OK","Category2","Group2")</f>
        <v>2.6546943319604516E-2</v>
      </c>
    </row>
    <row r="178" spans="1:19" ht="15" customHeight="1">
      <c r="A178" s="1" t="s">
        <v>431</v>
      </c>
      <c r="B178" s="33">
        <f>+'OLD Tables 44-50'!B116+'OLD Tables 44-50'!B147</f>
        <v>0</v>
      </c>
      <c r="C178" s="108">
        <f>+GETPIVOTDATA("Sum of Old-HS % of Total",'Pivot-HS Student % of Undergrad'!$A$3,"State","SC","Category",7,"Category2","Two-Year")</f>
        <v>0</v>
      </c>
      <c r="D178" s="311">
        <f>+'OLD Tables 44-50'!C116+'OLD Tables 44-50'!C147</f>
        <v>29262.682666666668</v>
      </c>
      <c r="E178" s="108">
        <f>+GETPIVOTDATA("Sum of Old-HS % of Total",'Pivot-HS Student % of Undergrad'!$A$3,"State","SC","Category",8,"Category2","Two-Year")</f>
        <v>1.4222892847554829E-2</v>
      </c>
      <c r="F178" s="311">
        <f>+'OLD Tables 44-50'!D116+'OLD Tables 44-50'!D147</f>
        <v>31398.061666666668</v>
      </c>
      <c r="G178" s="108">
        <f>+GETPIVOTDATA("Sum of Old-HS % of Total",'Pivot-HS Student % of Undergrad'!$A$3,"State","SC","Category",9,"Category2","Two-Year")</f>
        <v>3.287888737505399E-2</v>
      </c>
      <c r="H178" s="311">
        <f>+'OLD Tables 44-50'!E116+'OLD Tables 44-50'!E147</f>
        <v>6907.3996666666662</v>
      </c>
      <c r="I178" s="108">
        <f>+GETPIVOTDATA("Sum of Old-HS % of Total",'Pivot-HS Student % of Undergrad'!$A$3,"State","SC","Category",10,"Category2","Two-Year")</f>
        <v>6.2112133948718479E-2</v>
      </c>
      <c r="J178" s="311">
        <f>+'OLD Tables 44-50'!F116+'OLD Tables 44-50'!F147</f>
        <v>67568.144</v>
      </c>
      <c r="K178" s="108">
        <f>+GETPIVOTDATA("Sum of Old-HS % of Total",'Pivot-HS Student % of Undergrad'!$A$3,"State","SC","Category2","Group2")</f>
        <v>2.7787749603817247E-2</v>
      </c>
    </row>
    <row r="179" spans="1:19" ht="15" customHeight="1">
      <c r="B179" s="33"/>
      <c r="C179" s="108"/>
      <c r="D179" s="311"/>
      <c r="E179" s="108"/>
      <c r="F179" s="311"/>
      <c r="G179" s="108"/>
      <c r="H179" s="311"/>
      <c r="I179" s="108"/>
      <c r="J179" s="311"/>
      <c r="K179" s="108"/>
    </row>
    <row r="180" spans="1:19" ht="15" customHeight="1">
      <c r="A180" s="1" t="s">
        <v>432</v>
      </c>
      <c r="B180" s="33">
        <f>+'OLD Tables 44-50'!B118+'OLD Tables 44-50'!B149</f>
        <v>0</v>
      </c>
      <c r="C180" s="108">
        <f>+GETPIVOTDATA("Sum of Old-HS % of Total",'Pivot-HS Student % of Undergrad'!$A$3,"State","TN","Category",7,"Category2","Two-Year")</f>
        <v>0</v>
      </c>
      <c r="D180" s="311">
        <f>+'OLD Tables 44-50'!C118+'OLD Tables 44-50'!C149</f>
        <v>19253.966666666667</v>
      </c>
      <c r="E180" s="108">
        <f>+GETPIVOTDATA("Sum of Old-HS % of Total",'Pivot-HS Student % of Undergrad'!$A$3,"State","TN","Category",8,"Category2","Two-Year")</f>
        <v>2.6299342646277216E-2</v>
      </c>
      <c r="F180" s="311">
        <f>+'OLD Tables 44-50'!D118+'OLD Tables 44-50'!D149</f>
        <v>32559.833333333332</v>
      </c>
      <c r="G180" s="108">
        <f>+GETPIVOTDATA("Sum of Old-HS % of Total",'Pivot-HS Student % of Undergrad'!$A$3,"State","TN","Category",9,"Category2","Two-Year")</f>
        <v>3.7697776913272488E-2</v>
      </c>
      <c r="H180" s="311">
        <f>+'OLD Tables 44-50'!E118+'OLD Tables 44-50'!E149</f>
        <v>1718.0666666666666</v>
      </c>
      <c r="I180" s="108">
        <f>+GETPIVOTDATA("Sum of Old-HS % of Total",'Pivot-HS Student % of Undergrad'!$A$3,"State","TN","Category",10,"Category2","Two-Year")</f>
        <v>7.0408598812618836E-2</v>
      </c>
      <c r="J180" s="311">
        <f>+'OLD Tables 44-50'!F118+'OLD Tables 44-50'!F149</f>
        <v>53531.866666666669</v>
      </c>
      <c r="K180" s="108">
        <f>+GETPIVOTDATA("Sum of Old-HS % of Total",'Pivot-HS Student % of Undergrad'!$A$3,"State","TN","Category2","Group2")</f>
        <v>3.4647898198954391E-2</v>
      </c>
    </row>
    <row r="181" spans="1:19" ht="15" customHeight="1">
      <c r="A181" s="1" t="s">
        <v>433</v>
      </c>
      <c r="B181" s="33">
        <f>+'OLD Tables 44-50'!B119+'OLD Tables 44-50'!B150</f>
        <v>19405.971111111114</v>
      </c>
      <c r="C181" s="359">
        <f>+GETPIVOTDATA("Sum of Old-HS % of Total",'Pivot-HS Student % of Undergrad'!$A$3,"State","TX","Category",7,"Category2","Two-Year")</f>
        <v>0.15684414320399437</v>
      </c>
      <c r="D181" s="311">
        <f>+'OLD Tables 44-50'!C119+'OLD Tables 44-50'!C150</f>
        <v>291109.36222222226</v>
      </c>
      <c r="E181" s="359">
        <f>+GETPIVOTDATA("Sum of Old-HS % of Total",'Pivot-HS Student % of Undergrad'!$A$3,"State","TX","Category",8,"Category2","Two-Year")</f>
        <v>5.470031406001459E-2</v>
      </c>
      <c r="F181" s="311">
        <f>+'OLD Tables 44-50'!D119+'OLD Tables 44-50'!D150</f>
        <v>93786.058888888889</v>
      </c>
      <c r="G181" s="359">
        <f>+GETPIVOTDATA("Sum of Old-HS % of Total",'Pivot-HS Student % of Undergrad'!$A$3,"State","TX","Category",9,"Category2","Two-Year")</f>
        <v>7.2175028581038234E-2</v>
      </c>
      <c r="H181" s="311">
        <f>+'OLD Tables 44-50'!E119+'OLD Tables 44-50'!E150</f>
        <v>14660.586666666664</v>
      </c>
      <c r="I181" s="359">
        <f>+GETPIVOTDATA("Sum of Old-HS % of Total",'Pivot-HS Student % of Undergrad'!$A$3,"State","TX","Category",10,"Category2","Two-Year")</f>
        <v>7.9173385596268825E-2</v>
      </c>
      <c r="J181" s="311">
        <f>+'OLD Tables 44-50'!F119+'OLD Tables 44-50'!F150</f>
        <v>418961.97888888896</v>
      </c>
      <c r="K181" s="359">
        <f>+GETPIVOTDATA("Sum of Old-HS % of Total",'Pivot-HS Student % of Undergrad'!$A$3,"State","TX","Category2","Group2")</f>
        <v>6.417233666240954E-2</v>
      </c>
    </row>
    <row r="182" spans="1:19" ht="15" customHeight="1">
      <c r="A182" s="1" t="s">
        <v>434</v>
      </c>
      <c r="B182" s="33">
        <f>+'OLD Tables 44-50'!B120+'OLD Tables 44-50'!B151</f>
        <v>0</v>
      </c>
      <c r="C182" s="359">
        <f>+GETPIVOTDATA("Sum of Old-HS % of Total",'Pivot-HS Student % of Undergrad'!$A$3,"State","VA","Category",7,"Category2","Two-Year")</f>
        <v>0</v>
      </c>
      <c r="D182" s="311">
        <f>+'OLD Tables 44-50'!C120+'OLD Tables 44-50'!C151</f>
        <v>58434.233333333337</v>
      </c>
      <c r="E182" s="359">
        <f>+GETPIVOTDATA("Sum of Old-HS % of Total",'Pivot-HS Student % of Undergrad'!$A$3,"State","VA","Category",8,"Category2","Two-Year")</f>
        <v>3.4860843558028487E-2</v>
      </c>
      <c r="F182" s="311">
        <f>+'OLD Tables 44-50'!D120+'OLD Tables 44-50'!D151</f>
        <v>34618.466666666667</v>
      </c>
      <c r="G182" s="359">
        <f>+GETPIVOTDATA("Sum of Old-HS % of Total",'Pivot-HS Student % of Undergrad'!$A$3,"State","VA","Category",9,"Category2","Two-Year")</f>
        <v>0.14180100408837673</v>
      </c>
      <c r="H182" s="311">
        <f>+'OLD Tables 44-50'!E120+'OLD Tables 44-50'!E151</f>
        <v>12267.699999999999</v>
      </c>
      <c r="I182" s="359">
        <f>+GETPIVOTDATA("Sum of Old-HS % of Total",'Pivot-HS Student % of Undergrad'!$A$3,"State","VA","Category",10,"Category2","Two-Year")</f>
        <v>0.18467194339607262</v>
      </c>
      <c r="J182" s="311">
        <f>+'OLD Tables 44-50'!F120+'OLD Tables 44-50'!F151</f>
        <v>105320.40000000001</v>
      </c>
      <c r="K182" s="359">
        <f>+GETPIVOTDATA("Sum of Old-HS % of Total",'Pivot-HS Student % of Undergrad'!$A$3,"State","VA","Category2","Group2")</f>
        <v>8.7461688333884027E-2</v>
      </c>
    </row>
    <row r="183" spans="1:19" ht="15" customHeight="1">
      <c r="A183" s="3" t="s">
        <v>435</v>
      </c>
      <c r="B183" s="9">
        <f>+'OLD Tables 44-50'!B121+'OLD Tables 44-50'!B152</f>
        <v>4014.6333333333332</v>
      </c>
      <c r="C183" s="361">
        <f>+GETPIVOTDATA("Sum of Old-HS % of Total",'Pivot-HS Student % of Undergrad'!$A$3,"State","WV","Category",7,"Category2","Two-Year")</f>
        <v>5.2350152359285612E-2</v>
      </c>
      <c r="D183" s="312">
        <f>+'OLD Tables 44-50'!C121+'OLD Tables 44-50'!C152</f>
        <v>0</v>
      </c>
      <c r="E183" s="361">
        <f>+GETPIVOTDATA("Sum of Old-HS % of Total",'Pivot-HS Student % of Undergrad'!$A$3,"State","WV","Category",8,"Category2","Two-Year")</f>
        <v>0</v>
      </c>
      <c r="F183" s="312">
        <f>+'OLD Tables 44-50'!D121+'OLD Tables 44-50'!D152</f>
        <v>0</v>
      </c>
      <c r="G183" s="361">
        <f>+GETPIVOTDATA("Sum of Old-HS % of Total",'Pivot-HS Student % of Undergrad'!$A$3,"State","WV","Category",9,"Category2","Two-Year")</f>
        <v>0</v>
      </c>
      <c r="H183" s="312">
        <f>+'OLD Tables 44-50'!E121+'OLD Tables 44-50'!E152</f>
        <v>11857.45</v>
      </c>
      <c r="I183" s="361">
        <f>+GETPIVOTDATA("Sum of Old-HS % of Total",'Pivot-HS Student % of Undergrad'!$A$3,"State","WV","Category",10,"Category2","Two-Year")</f>
        <v>5.3224765864498688E-2</v>
      </c>
      <c r="J183" s="312">
        <f>+'OLD Tables 44-50'!F121+'OLD Tables 44-50'!F152</f>
        <v>15872.083333333334</v>
      </c>
      <c r="K183" s="361">
        <f>+GETPIVOTDATA("Sum of Old-HS % of Total",'Pivot-HS Student % of Undergrad'!$A$3,"State","WV","Category2","Group2")</f>
        <v>5.3003543958207541E-2</v>
      </c>
      <c r="P183" s="25"/>
      <c r="Q183" s="25"/>
      <c r="R183" s="25"/>
      <c r="S183" s="25"/>
    </row>
    <row r="184" spans="1:19" s="25" customFormat="1" ht="46.5" customHeight="1">
      <c r="A184" s="789" t="s">
        <v>80</v>
      </c>
      <c r="B184" s="789"/>
      <c r="C184" s="789"/>
      <c r="D184" s="789"/>
      <c r="E184" s="789"/>
      <c r="F184" s="789"/>
      <c r="G184" s="789"/>
      <c r="H184" s="789"/>
      <c r="I184" s="789"/>
      <c r="J184" s="789"/>
      <c r="K184" s="790"/>
      <c r="L184" s="115"/>
      <c r="M184" s="115"/>
    </row>
    <row r="185" spans="1:19">
      <c r="J185" s="1"/>
      <c r="K185" s="307" t="s">
        <v>876</v>
      </c>
      <c r="L185" s="1"/>
      <c r="M185" s="346"/>
    </row>
    <row r="186" spans="1:19" ht="18">
      <c r="A186" s="127" t="s">
        <v>978</v>
      </c>
      <c r="B186" s="22"/>
      <c r="C186" s="22"/>
      <c r="D186" s="22"/>
      <c r="E186" s="22"/>
      <c r="F186" s="22"/>
      <c r="G186" s="22"/>
      <c r="H186" s="118"/>
      <c r="I186" s="22"/>
      <c r="J186" s="1"/>
      <c r="K186" s="1"/>
      <c r="L186" s="1"/>
      <c r="M186" s="346"/>
    </row>
    <row r="187" spans="1:19" ht="15.75">
      <c r="A187" s="21"/>
      <c r="B187" s="22"/>
      <c r="C187" s="22"/>
      <c r="D187" s="22"/>
      <c r="E187" s="22"/>
      <c r="F187" s="22"/>
      <c r="G187" s="22"/>
      <c r="H187" s="118"/>
      <c r="I187" s="22"/>
      <c r="J187" s="1"/>
      <c r="K187" s="1"/>
      <c r="L187" s="1"/>
      <c r="M187" s="346"/>
    </row>
    <row r="188" spans="1:19" ht="15.75">
      <c r="A188" s="44" t="s">
        <v>388</v>
      </c>
      <c r="B188" s="22"/>
      <c r="C188" s="22"/>
      <c r="D188" s="22"/>
      <c r="E188" s="22"/>
      <c r="F188" s="22"/>
      <c r="G188" s="22"/>
      <c r="H188" s="118"/>
      <c r="I188" s="22"/>
      <c r="J188" s="1"/>
      <c r="K188" s="1"/>
      <c r="L188" s="1"/>
      <c r="M188" s="346"/>
    </row>
    <row r="189" spans="1:19" ht="15.75">
      <c r="A189" s="44" t="s">
        <v>966</v>
      </c>
      <c r="B189" s="22"/>
      <c r="C189" s="22"/>
      <c r="D189" s="22"/>
      <c r="E189" s="22"/>
      <c r="F189" s="22"/>
      <c r="G189" s="22"/>
      <c r="H189" s="118"/>
      <c r="I189" s="22"/>
      <c r="J189" s="1"/>
      <c r="K189" s="1"/>
      <c r="L189" s="1"/>
      <c r="M189" s="346"/>
    </row>
    <row r="190" spans="1:19">
      <c r="C190" s="3"/>
      <c r="D190" s="3"/>
      <c r="E190" s="3"/>
      <c r="F190" s="3"/>
      <c r="G190" s="3"/>
      <c r="H190" s="86"/>
      <c r="I190" s="3"/>
      <c r="J190" s="1"/>
      <c r="K190" s="1"/>
      <c r="L190" s="1"/>
      <c r="M190" s="346"/>
    </row>
    <row r="191" spans="1:19" ht="28.5" customHeight="1">
      <c r="A191" s="46"/>
      <c r="B191" s="656">
        <v>1</v>
      </c>
      <c r="D191" s="385">
        <v>2</v>
      </c>
      <c r="F191" s="395" t="s">
        <v>379</v>
      </c>
      <c r="G191" s="22"/>
      <c r="H191" s="386" t="s">
        <v>382</v>
      </c>
      <c r="J191" s="1"/>
      <c r="K191" s="1"/>
      <c r="L191" s="1"/>
      <c r="M191" s="346"/>
    </row>
    <row r="192" spans="1:19" ht="78" customHeight="1">
      <c r="A192" s="352"/>
      <c r="B192" s="353" t="s">
        <v>605</v>
      </c>
      <c r="C192" s="304" t="s">
        <v>72</v>
      </c>
      <c r="D192" s="354" t="s">
        <v>605</v>
      </c>
      <c r="E192" s="304" t="s">
        <v>72</v>
      </c>
      <c r="F192" s="354" t="s">
        <v>605</v>
      </c>
      <c r="G192" s="304" t="s">
        <v>72</v>
      </c>
      <c r="H192" s="354" t="s">
        <v>605</v>
      </c>
      <c r="I192" s="304" t="s">
        <v>72</v>
      </c>
      <c r="J192" s="1"/>
      <c r="K192" s="1"/>
      <c r="L192" s="1"/>
      <c r="M192" s="346"/>
    </row>
    <row r="193" spans="1:13">
      <c r="A193" s="1" t="s">
        <v>420</v>
      </c>
      <c r="B193" s="33">
        <f>+'OLD Tables 44-50'!G101+'OLD Tables 44-50'!G132</f>
        <v>82707.03306666667</v>
      </c>
      <c r="D193" s="313">
        <f>+'OLD Tables 44-50'!H101+'OLD Tables 44-50'!H132</f>
        <v>36175.061844444441</v>
      </c>
      <c r="F193" s="311">
        <f>+'OLD Tables 44-50'!I101+'OLD Tables 44-50'!I132</f>
        <v>14183.737222222222</v>
      </c>
      <c r="H193" s="313">
        <f>+'OLD Tables 44-50'!J101+'OLD Tables 44-50'!J132</f>
        <v>133065.83213333334</v>
      </c>
      <c r="J193" s="1"/>
      <c r="K193" s="1"/>
      <c r="L193" s="1"/>
      <c r="M193" s="346"/>
    </row>
    <row r="194" spans="1:13">
      <c r="A194" s="653"/>
      <c r="B194" s="657"/>
      <c r="C194" s="649" t="s">
        <v>968</v>
      </c>
      <c r="D194" s="655" t="s">
        <v>380</v>
      </c>
      <c r="E194" s="649" t="s">
        <v>969</v>
      </c>
      <c r="F194" s="652" t="s">
        <v>380</v>
      </c>
      <c r="G194" s="649" t="s">
        <v>970</v>
      </c>
      <c r="H194" s="655" t="s">
        <v>380</v>
      </c>
      <c r="I194" s="649" t="s">
        <v>971</v>
      </c>
      <c r="J194" s="1" t="s">
        <v>380</v>
      </c>
      <c r="K194" s="1"/>
      <c r="L194" s="1"/>
      <c r="M194" s="346"/>
    </row>
    <row r="195" spans="1:13">
      <c r="A195" s="1" t="s">
        <v>421</v>
      </c>
      <c r="B195" s="33">
        <f>+'OLD Tables 44-50'!G103+'OLD Tables 44-50'!G134</f>
        <v>1225.2666666666667</v>
      </c>
      <c r="C195" s="108">
        <f>+GETPIVOTDATA("Sum of Old-HS % of Total",'Pivot-HS Student % of Undergrad'!$A$3,"State","AL","Category",12,"Category2","Technical")</f>
        <v>0</v>
      </c>
      <c r="D195" s="313">
        <f>+'OLD Tables 44-50'!H103+'OLD Tables 44-50'!H134</f>
        <v>1885.5</v>
      </c>
      <c r="E195" s="108">
        <f>+GETPIVOTDATA("Sum of Old-HS % of Total",'Pivot-HS Student % of Undergrad'!$A$3,"State","AL","Category",13,"Category2","Technical")</f>
        <v>0</v>
      </c>
      <c r="F195" s="311">
        <f>+'OLD Tables 44-50'!I103+'OLD Tables 44-50'!I134</f>
        <v>0</v>
      </c>
      <c r="G195" s="108">
        <f>+GETPIVOTDATA("Sum of Old-HS % of Total",'Pivot-HS Student % of Undergrad'!$A$3,"State","AL","Category",14,"Category2","Technical")</f>
        <v>0</v>
      </c>
      <c r="H195" s="313">
        <f>+'OLD Tables 44-50'!J103+'OLD Tables 44-50'!J134</f>
        <v>3110.7666666666664</v>
      </c>
      <c r="I195" s="108">
        <f>+GETPIVOTDATA("Sum of Old-HS % of Total",'Pivot-HS Student % of Undergrad'!$A$3,"State","AL","Category2","Group3")</f>
        <v>0</v>
      </c>
      <c r="J195" s="1"/>
      <c r="K195" s="1"/>
      <c r="L195" s="1"/>
      <c r="M195" s="346"/>
    </row>
    <row r="196" spans="1:13">
      <c r="A196" s="1" t="s">
        <v>422</v>
      </c>
      <c r="B196" s="33">
        <f>+'OLD Tables 44-50'!G104+'OLD Tables 44-50'!G135</f>
        <v>0</v>
      </c>
      <c r="C196" s="108">
        <f>+GETPIVOTDATA("Sum of Old-HS % of Total",'Pivot-HS Student % of Undergrad'!$A$3,"State","AR","Category",12,"Category2","Technical")</f>
        <v>0</v>
      </c>
      <c r="D196" s="313">
        <f>+'OLD Tables 44-50'!H104+'OLD Tables 44-50'!H135</f>
        <v>0</v>
      </c>
      <c r="E196" s="108">
        <f>+GETPIVOTDATA("Sum of Old-HS % of Total",'Pivot-HS Student % of Undergrad'!$A$3,"State","AR","Category",13,"Category2","Technical")</f>
        <v>0</v>
      </c>
      <c r="F196" s="311">
        <f>+'OLD Tables 44-50'!I104+'OLD Tables 44-50'!I135</f>
        <v>0</v>
      </c>
      <c r="G196" s="108">
        <f>+GETPIVOTDATA("Sum of Old-HS % of Total",'Pivot-HS Student % of Undergrad'!$A$3,"State","AR","Category",14,"Category2","Technical")</f>
        <v>0</v>
      </c>
      <c r="H196" s="313">
        <f>+'OLD Tables 44-50'!J104+'OLD Tables 44-50'!J135</f>
        <v>0</v>
      </c>
      <c r="I196" s="108">
        <f>+GETPIVOTDATA("Sum of Old-HS % of Total",'Pivot-HS Student % of Undergrad'!$A$3,"State","AR","Category2","Group3")</f>
        <v>0</v>
      </c>
      <c r="J196" s="1"/>
      <c r="K196" s="1"/>
      <c r="L196" s="1"/>
      <c r="M196" s="346"/>
    </row>
    <row r="197" spans="1:13">
      <c r="A197" s="1" t="s">
        <v>459</v>
      </c>
      <c r="B197" s="33">
        <f>+'OLD Tables 44-50'!G105+'OLD Tables 44-50'!G136</f>
        <v>0</v>
      </c>
      <c r="C197" s="108">
        <f>+GETPIVOTDATA("Sum of Old-HS % of Total",'Pivot-HS Student % of Undergrad'!$A$3,"State","DE","Category",12,"Category2","Technical")</f>
        <v>0</v>
      </c>
      <c r="D197" s="313">
        <f>+'OLD Tables 44-50'!H105+'OLD Tables 44-50'!H136</f>
        <v>0</v>
      </c>
      <c r="E197" s="108">
        <f>+GETPIVOTDATA("Sum of Old-HS % of Total",'Pivot-HS Student % of Undergrad'!$A$3,"State","DE","Category",13,"Category2","Technical")</f>
        <v>0</v>
      </c>
      <c r="F197" s="311">
        <f>+'OLD Tables 44-50'!I105+'OLD Tables 44-50'!I136</f>
        <v>0</v>
      </c>
      <c r="G197" s="108">
        <f>+GETPIVOTDATA("Sum of Old-HS % of Total",'Pivot-HS Student % of Undergrad'!$A$3,"State","DE","Category",14,"Category2","Technical")</f>
        <v>0</v>
      </c>
      <c r="H197" s="313">
        <f>+'OLD Tables 44-50'!J105+'OLD Tables 44-50'!J136</f>
        <v>0</v>
      </c>
      <c r="I197" s="108">
        <f>+GETPIVOTDATA("Sum of Old-HS % of Total",'Pivot-HS Student % of Undergrad'!$A$3,"State","DE","Category2","Group3")</f>
        <v>0</v>
      </c>
      <c r="J197" s="1"/>
      <c r="K197" s="1"/>
      <c r="L197" s="1"/>
      <c r="M197" s="346"/>
    </row>
    <row r="198" spans="1:13">
      <c r="A198" s="1" t="s">
        <v>423</v>
      </c>
      <c r="B198" s="33">
        <f>+'OLD Tables 44-50'!G106+'OLD Tables 44-50'!G137</f>
        <v>0</v>
      </c>
      <c r="C198" s="108">
        <f>+GETPIVOTDATA("Sum of Old-HS % of Total",'Pivot-HS Student % of Undergrad'!$A$3,"State","FL","Category",12,"Category2","Technical")</f>
        <v>0</v>
      </c>
      <c r="D198" s="313">
        <f>+'OLD Tables 44-50'!H106+'OLD Tables 44-50'!H137</f>
        <v>0</v>
      </c>
      <c r="E198" s="108">
        <f>+GETPIVOTDATA("Sum of Old-HS % of Total",'Pivot-HS Student % of Undergrad'!$A$3,"State","FL","Category",13,"Category2","Technical")</f>
        <v>0</v>
      </c>
      <c r="F198" s="311">
        <f>+'OLD Tables 44-50'!I106+'OLD Tables 44-50'!I137</f>
        <v>0</v>
      </c>
      <c r="G198" s="108">
        <f>+GETPIVOTDATA("Sum of Old-HS % of Total",'Pivot-HS Student % of Undergrad'!$A$3,"State","FL","Category",14,"Category2","Technical")</f>
        <v>0</v>
      </c>
      <c r="H198" s="313">
        <f>+'OLD Tables 44-50'!J106+'OLD Tables 44-50'!J137</f>
        <v>0</v>
      </c>
      <c r="I198" s="108">
        <f>+GETPIVOTDATA("Sum of Old-HS % of Total",'Pivot-HS Student % of Undergrad'!$A$3,"State","FL","Category2","Group3")</f>
        <v>0</v>
      </c>
      <c r="J198" s="1"/>
      <c r="K198" s="1"/>
      <c r="L198" s="1"/>
      <c r="M198" s="346"/>
    </row>
    <row r="199" spans="1:13">
      <c r="B199" s="33"/>
      <c r="C199" s="108"/>
      <c r="D199" s="313"/>
      <c r="E199" s="108"/>
      <c r="F199" s="311"/>
      <c r="G199" s="108"/>
      <c r="H199" s="313"/>
      <c r="I199" s="108"/>
      <c r="J199" s="1"/>
      <c r="K199" s="1"/>
      <c r="L199" s="1"/>
      <c r="M199" s="346"/>
    </row>
    <row r="200" spans="1:13">
      <c r="A200" s="1" t="s">
        <v>424</v>
      </c>
      <c r="B200" s="33">
        <f>+'OLD Tables 44-50'!G108+'OLD Tables 44-50'!G139</f>
        <v>70299.157777777786</v>
      </c>
      <c r="C200" s="108">
        <f>+GETPIVOTDATA("Sum of Old-HS % of Total",'Pivot-HS Student % of Undergrad'!$A$3,"State","GA","Category",12,"Category2","Technical")</f>
        <v>3.1840621703670802E-2</v>
      </c>
      <c r="D200" s="313">
        <f>+'OLD Tables 44-50'!H108+'OLD Tables 44-50'!H139</f>
        <v>2122.7777777777778</v>
      </c>
      <c r="E200" s="108">
        <f>+GETPIVOTDATA("Sum of Old-HS % of Total",'Pivot-HS Student % of Undergrad'!$A$3,"State","GA","Category",13,"Category2","Technical")</f>
        <v>7.3059408531797959E-2</v>
      </c>
      <c r="F200" s="311">
        <f>+'OLD Tables 44-50'!I108+'OLD Tables 44-50'!I139</f>
        <v>0</v>
      </c>
      <c r="G200" s="108">
        <f>+GETPIVOTDATA("Sum of Old-HS % of Total",'Pivot-HS Student % of Undergrad'!$A$3,"State","GA","Category",14,"Category2","Technical")</f>
        <v>0</v>
      </c>
      <c r="H200" s="313">
        <f>+'OLD Tables 44-50'!J108+'OLD Tables 44-50'!J139</f>
        <v>72421.935555555567</v>
      </c>
      <c r="I200" s="108">
        <f>+GETPIVOTDATA("Sum of Old-HS % of Total",'Pivot-HS Student % of Undergrad'!$A$3,"State","GA","Category2","Group3")</f>
        <v>3.3048796050772954E-2</v>
      </c>
      <c r="J200" s="1"/>
      <c r="K200" s="1"/>
      <c r="L200" s="1"/>
      <c r="M200" s="346"/>
    </row>
    <row r="201" spans="1:13">
      <c r="A201" s="1" t="s">
        <v>425</v>
      </c>
      <c r="B201" s="33">
        <f>+'OLD Tables 44-50'!G109+'OLD Tables 44-50'!G140</f>
        <v>2928.8666666666668</v>
      </c>
      <c r="C201" s="108">
        <f>+GETPIVOTDATA("Sum of Old-HS % of Total",'Pivot-HS Student % of Undergrad'!$A$3,"State","KY","Category",12,"Category2","Technical")</f>
        <v>9.3084924771811628E-2</v>
      </c>
      <c r="D201" s="313">
        <f>+'OLD Tables 44-50'!H109+'OLD Tables 44-50'!H140</f>
        <v>0</v>
      </c>
      <c r="E201" s="108">
        <f>+GETPIVOTDATA("Sum of Old-HS % of Total",'Pivot-HS Student % of Undergrad'!$A$3,"State","KY","Category",13,"Category2","Technical")</f>
        <v>0</v>
      </c>
      <c r="F201" s="311">
        <f>+'OLD Tables 44-50'!I109+'OLD Tables 44-50'!I140</f>
        <v>0</v>
      </c>
      <c r="G201" s="108">
        <f>+GETPIVOTDATA("Sum of Old-HS % of Total",'Pivot-HS Student % of Undergrad'!$A$3,"State","KY","Category",14,"Category2","Technical")</f>
        <v>0</v>
      </c>
      <c r="H201" s="313">
        <f>+'OLD Tables 44-50'!J109+'OLD Tables 44-50'!J140</f>
        <v>2928.8666666666668</v>
      </c>
      <c r="I201" s="108">
        <f>+GETPIVOTDATA("Sum of Old-HS % of Total",'Pivot-HS Student % of Undergrad'!$A$3,"State","KY","Category2","Group3")</f>
        <v>9.3084924771811628E-2</v>
      </c>
      <c r="J201" s="1"/>
      <c r="K201" s="1"/>
      <c r="L201" s="1"/>
      <c r="M201" s="346"/>
    </row>
    <row r="202" spans="1:13">
      <c r="A202" s="1" t="s">
        <v>426</v>
      </c>
      <c r="B202" s="33">
        <f>+'OLD Tables 44-50'!G110+'OLD Tables 44-50'!G141</f>
        <v>1458.4333333333334</v>
      </c>
      <c r="C202" s="108">
        <f>+GETPIVOTDATA("Sum of Old-HS % of Total",'Pivot-HS Student % of Undergrad'!$A$3,"State","LA","Category",12,"Category2","Technical")</f>
        <v>2.1278540900052569E-2</v>
      </c>
      <c r="D202" s="313">
        <f>+'OLD Tables 44-50'!H110+'OLD Tables 44-50'!H141</f>
        <v>945.31444444444446</v>
      </c>
      <c r="E202" s="108">
        <f>+GETPIVOTDATA("Sum of Old-HS % of Total",'Pivot-HS Student % of Undergrad'!$A$3,"State","LA","Category",13,"Category2","Technical")</f>
        <v>3.5351799250990537E-2</v>
      </c>
      <c r="F202" s="311">
        <f>+'OLD Tables 44-50'!I110+'OLD Tables 44-50'!I141</f>
        <v>14183.737222222222</v>
      </c>
      <c r="G202" s="108">
        <f>+GETPIVOTDATA("Sum of Old-HS % of Total",'Pivot-HS Student % of Undergrad'!$A$3,"State","LA","Category",14,"Category2","Technical")</f>
        <v>0.11545802317064657</v>
      </c>
      <c r="H202" s="313">
        <f>+'OLD Tables 44-50'!J110+'OLD Tables 44-50'!J141</f>
        <v>16587.485000000001</v>
      </c>
      <c r="I202" s="108">
        <f>+GETPIVOTDATA("Sum of Old-HS % of Total",'Pivot-HS Student % of Undergrad'!$A$3,"State","LA","Category2","Group3")</f>
        <v>0.10263386982488105</v>
      </c>
      <c r="J202" s="1"/>
      <c r="K202" s="1"/>
      <c r="L202" s="1"/>
      <c r="M202" s="346"/>
    </row>
    <row r="203" spans="1:13">
      <c r="A203" s="1" t="s">
        <v>427</v>
      </c>
      <c r="B203" s="33">
        <f>+'OLD Tables 44-50'!G111+'OLD Tables 44-50'!G142</f>
        <v>0</v>
      </c>
      <c r="C203" s="108">
        <f>+GETPIVOTDATA("Sum of Old-HS % of Total",'Pivot-HS Student % of Undergrad'!$A$3,"State","MD","Category",12,"Category2","Technical")</f>
        <v>0</v>
      </c>
      <c r="D203" s="313">
        <f>+'OLD Tables 44-50'!H111+'OLD Tables 44-50'!H142</f>
        <v>0</v>
      </c>
      <c r="E203" s="108">
        <f>+GETPIVOTDATA("Sum of Old-HS % of Total",'Pivot-HS Student % of Undergrad'!$A$3,"State","MD","Category",13,"Category2","Technical")</f>
        <v>0</v>
      </c>
      <c r="F203" s="311">
        <f>+'OLD Tables 44-50'!I111+'OLD Tables 44-50'!I142</f>
        <v>0</v>
      </c>
      <c r="G203" s="108">
        <f>+GETPIVOTDATA("Sum of Old-HS % of Total",'Pivot-HS Student % of Undergrad'!$A$3,"State","MD","Category",14,"Category2","Technical")</f>
        <v>0</v>
      </c>
      <c r="H203" s="313">
        <f>+'OLD Tables 44-50'!J111+'OLD Tables 44-50'!J142</f>
        <v>0</v>
      </c>
      <c r="I203" s="108">
        <f>+GETPIVOTDATA("Sum of Old-HS % of Total",'Pivot-HS Student % of Undergrad'!$A$3,"State","MD","Category2","Group3")</f>
        <v>0</v>
      </c>
      <c r="J203" s="1"/>
      <c r="K203" s="1"/>
      <c r="L203" s="1"/>
      <c r="M203" s="346"/>
    </row>
    <row r="204" spans="1:13">
      <c r="B204" s="33"/>
      <c r="C204" s="108"/>
      <c r="D204" s="313"/>
      <c r="E204" s="108"/>
      <c r="F204" s="311"/>
      <c r="G204" s="108"/>
      <c r="H204" s="313"/>
      <c r="I204" s="108"/>
      <c r="J204" s="1"/>
      <c r="K204" s="1"/>
      <c r="L204" s="1"/>
      <c r="M204" s="346"/>
    </row>
    <row r="205" spans="1:13">
      <c r="A205" s="1" t="s">
        <v>428</v>
      </c>
      <c r="B205" s="33">
        <f>+'OLD Tables 44-50'!G113+'OLD Tables 44-50'!G144</f>
        <v>0</v>
      </c>
      <c r="C205" s="108">
        <f>+GETPIVOTDATA("Sum of Old-HS % of Total",'Pivot-HS Student % of Undergrad'!$A$3,"State","MS","Category",12,"Category2","Technical")</f>
        <v>0</v>
      </c>
      <c r="D205" s="313">
        <f>+'OLD Tables 44-50'!H113+'OLD Tables 44-50'!H144</f>
        <v>0</v>
      </c>
      <c r="E205" s="108">
        <f>+GETPIVOTDATA("Sum of Old-HS % of Total",'Pivot-HS Student % of Undergrad'!$A$3,"State","MS","Category",13,"Category2","Technical")</f>
        <v>0</v>
      </c>
      <c r="F205" s="311">
        <f>+'OLD Tables 44-50'!I113+'OLD Tables 44-50'!I144</f>
        <v>0</v>
      </c>
      <c r="G205" s="108">
        <f>+GETPIVOTDATA("Sum of Old-HS % of Total",'Pivot-HS Student % of Undergrad'!$A$3,"State","MS","Category",14,"Category2","Technical")</f>
        <v>0</v>
      </c>
      <c r="H205" s="313">
        <f>+'OLD Tables 44-50'!J113+'OLD Tables 44-50'!J144</f>
        <v>0</v>
      </c>
      <c r="I205" s="108">
        <f>+GETPIVOTDATA("Sum of Old-HS % of Total",'Pivot-HS Student % of Undergrad'!$A$3,"State","MS","Category2","Group3")</f>
        <v>0</v>
      </c>
      <c r="J205" s="1"/>
      <c r="K205" s="1"/>
      <c r="L205" s="1"/>
      <c r="M205" s="346"/>
    </row>
    <row r="206" spans="1:13">
      <c r="A206" s="1" t="s">
        <v>429</v>
      </c>
      <c r="B206" s="33">
        <f>+'OLD Tables 44-50'!G114+'OLD Tables 44-50'!G145</f>
        <v>0</v>
      </c>
      <c r="C206" s="108">
        <f>+GETPIVOTDATA("Sum of Old-HS % of Total",'Pivot-HS Student % of Undergrad'!$A$3,"State","NC","Category",12,"Category2","Technical")</f>
        <v>0</v>
      </c>
      <c r="D206" s="313">
        <f>+'OLD Tables 44-50'!H114+'OLD Tables 44-50'!H145</f>
        <v>0</v>
      </c>
      <c r="E206" s="108">
        <f>+GETPIVOTDATA("Sum of Old-HS % of Total",'Pivot-HS Student % of Undergrad'!$A$3,"State","NC","Category",13,"Category2","Technical")</f>
        <v>0</v>
      </c>
      <c r="F206" s="311">
        <f>+'OLD Tables 44-50'!I114+'OLD Tables 44-50'!I145</f>
        <v>0</v>
      </c>
      <c r="G206" s="108">
        <f>+GETPIVOTDATA("Sum of Old-HS % of Total",'Pivot-HS Student % of Undergrad'!$A$3,"State","NC","Category",14,"Category2","Technical")</f>
        <v>0</v>
      </c>
      <c r="H206" s="313">
        <f>+'OLD Tables 44-50'!J114+'OLD Tables 44-50'!J145</f>
        <v>0</v>
      </c>
      <c r="I206" s="108">
        <f>+GETPIVOTDATA("Sum of Old-HS % of Total",'Pivot-HS Student % of Undergrad'!$A$3,"State","NC","Category2","Group3")</f>
        <v>0</v>
      </c>
      <c r="J206" s="1"/>
      <c r="K206" s="1"/>
      <c r="L206" s="1"/>
      <c r="M206" s="346"/>
    </row>
    <row r="207" spans="1:13">
      <c r="A207" s="1" t="s">
        <v>430</v>
      </c>
      <c r="B207" s="33">
        <f>+'OLD Tables 44-50'!G115+'OLD Tables 44-50'!G146</f>
        <v>6795.3086222222237</v>
      </c>
      <c r="C207" s="108">
        <f>+GETPIVOTDATA("Sum of Old-HS % of Total",'Pivot-HS Student % of Undergrad'!$A$3,"State","OK","Category",12,"Category2","Technical")</f>
        <v>0</v>
      </c>
      <c r="D207" s="313">
        <f>+'OLD Tables 44-50'!H115+'OLD Tables 44-50'!H146</f>
        <v>20184.214066666664</v>
      </c>
      <c r="E207" s="108">
        <f>+GETPIVOTDATA("Sum of Old-HS % of Total",'Pivot-HS Student % of Undergrad'!$A$3,"State","OK","Category",13,"Category2","Technical")</f>
        <v>0</v>
      </c>
      <c r="F207" s="311">
        <f>+'OLD Tables 44-50'!I115+'OLD Tables 44-50'!I146</f>
        <v>0</v>
      </c>
      <c r="G207" s="108">
        <f>+GETPIVOTDATA("Sum of Old-HS % of Total",'Pivot-HS Student % of Undergrad'!$A$3,"State","OK","Category",14,"Category2","Technical")</f>
        <v>0</v>
      </c>
      <c r="H207" s="313">
        <f>+'OLD Tables 44-50'!J115+'OLD Tables 44-50'!J146</f>
        <v>26979.522688888886</v>
      </c>
      <c r="I207" s="108">
        <f>+GETPIVOTDATA("Sum of Old-HS % of Total",'Pivot-HS Student % of Undergrad'!$A$3,"State","OK","Category2","Group3")</f>
        <v>0</v>
      </c>
      <c r="J207" s="1"/>
      <c r="K207" s="1"/>
      <c r="L207" s="1"/>
      <c r="M207" s="346"/>
    </row>
    <row r="208" spans="1:13">
      <c r="A208" s="1" t="s">
        <v>431</v>
      </c>
      <c r="B208" s="33">
        <f>+'OLD Tables 44-50'!G116+'OLD Tables 44-50'!G147</f>
        <v>0</v>
      </c>
      <c r="C208" s="108">
        <f>+GETPIVOTDATA("Sum of Old-HS % of Total",'Pivot-HS Student % of Undergrad'!$A$3,"State","SC","Category",12,"Category2","Technical")</f>
        <v>0</v>
      </c>
      <c r="D208" s="313">
        <f>+'OLD Tables 44-50'!H116+'OLD Tables 44-50'!H147</f>
        <v>0</v>
      </c>
      <c r="E208" s="108">
        <f>+GETPIVOTDATA("Sum of Old-HS % of Total",'Pivot-HS Student % of Undergrad'!$A$3,"State","SC","Category",13,"Category2","Technical")</f>
        <v>0</v>
      </c>
      <c r="F208" s="311">
        <f>+'OLD Tables 44-50'!I116+'OLD Tables 44-50'!I147</f>
        <v>0</v>
      </c>
      <c r="G208" s="108">
        <f>+GETPIVOTDATA("Sum of Old-HS % of Total",'Pivot-HS Student % of Undergrad'!$A$3,"State","SC","Category",14,"Category2","Technical")</f>
        <v>0</v>
      </c>
      <c r="H208" s="313">
        <f>+'OLD Tables 44-50'!J116+'OLD Tables 44-50'!J147</f>
        <v>0</v>
      </c>
      <c r="I208" s="108">
        <f>+GETPIVOTDATA("Sum of Old-HS % of Total",'Pivot-HS Student % of Undergrad'!$A$3,"State","SC","Category2","Group3")</f>
        <v>0</v>
      </c>
      <c r="J208" s="1"/>
      <c r="K208" s="1"/>
      <c r="L208" s="1"/>
      <c r="M208" s="346"/>
    </row>
    <row r="209" spans="1:13">
      <c r="B209" s="33"/>
      <c r="C209" s="108"/>
      <c r="D209" s="313"/>
      <c r="E209" s="108"/>
      <c r="F209" s="311"/>
      <c r="G209" s="108"/>
      <c r="H209" s="313"/>
      <c r="I209" s="108"/>
      <c r="J209" s="1"/>
      <c r="K209" s="1"/>
      <c r="L209" s="1"/>
      <c r="M209" s="346"/>
    </row>
    <row r="210" spans="1:13">
      <c r="A210" s="1" t="s">
        <v>432</v>
      </c>
      <c r="B210" s="33">
        <f>+'OLD Tables 44-50'!G118+'OLD Tables 44-50'!G149</f>
        <v>0</v>
      </c>
      <c r="C210" s="108">
        <f>+GETPIVOTDATA("Sum of Old-HS % of Total",'Pivot-HS Student % of Undergrad'!$A$3,"State","TN","Category",12,"Category2","Technical")</f>
        <v>0</v>
      </c>
      <c r="D210" s="313">
        <f>+'OLD Tables 44-50'!H118+'OLD Tables 44-50'!H149</f>
        <v>11037.255555555552</v>
      </c>
      <c r="E210" s="108">
        <f>+GETPIVOTDATA("Sum of Old-HS % of Total",'Pivot-HS Student % of Undergrad'!$A$3,"State","TN","Category",13,"Category2","Technical")</f>
        <v>0</v>
      </c>
      <c r="F210" s="311">
        <f>+'OLD Tables 44-50'!I118+'OLD Tables 44-50'!I149</f>
        <v>0</v>
      </c>
      <c r="G210" s="108">
        <f>+GETPIVOTDATA("Sum of Old-HS % of Total",'Pivot-HS Student % of Undergrad'!$A$3,"State","TN","Category",14,"Category2","Technical")</f>
        <v>0</v>
      </c>
      <c r="H210" s="313">
        <f>+'OLD Tables 44-50'!J118+'OLD Tables 44-50'!J149</f>
        <v>11037.255555555552</v>
      </c>
      <c r="I210" s="108">
        <f>+GETPIVOTDATA("Sum of Old-HS % of Total",'Pivot-HS Student % of Undergrad'!$A$3,"State","TN","Category2","Group3")</f>
        <v>0</v>
      </c>
      <c r="J210" s="1"/>
      <c r="K210" s="1"/>
      <c r="L210" s="1"/>
      <c r="M210" s="346"/>
    </row>
    <row r="211" spans="1:13">
      <c r="A211" s="1" t="s">
        <v>433</v>
      </c>
      <c r="B211" s="33">
        <f>+'OLD Tables 44-50'!G119+'OLD Tables 44-50'!G150</f>
        <v>0</v>
      </c>
      <c r="C211" s="359">
        <f>+GETPIVOTDATA("Sum of Old-HS % of Total",'Pivot-HS Student % of Undergrad'!$A$3,"State","TX","Category",12,"Category2","Technical")</f>
        <v>0</v>
      </c>
      <c r="D211" s="313">
        <f>+'OLD Tables 44-50'!H119+'OLD Tables 44-50'!H150</f>
        <v>0</v>
      </c>
      <c r="E211" s="359">
        <f>+GETPIVOTDATA("Sum of Old-HS % of Total",'Pivot-HS Student % of Undergrad'!$A$3,"State","TX","Category",13,"Category2","Technical")</f>
        <v>0</v>
      </c>
      <c r="F211" s="311">
        <f>+'OLD Tables 44-50'!I119+'OLD Tables 44-50'!I150</f>
        <v>0</v>
      </c>
      <c r="G211" s="359">
        <f>+GETPIVOTDATA("Sum of Old-HS % of Total",'Pivot-HS Student % of Undergrad'!$A$3,"State","TX","Category",14,"Category2","Technical")</f>
        <v>0</v>
      </c>
      <c r="H211" s="313">
        <f>+'OLD Tables 44-50'!J119+'OLD Tables 44-50'!J150</f>
        <v>0</v>
      </c>
      <c r="I211" s="108">
        <f>+GETPIVOTDATA("Sum of Old-HS % of Total",'Pivot-HS Student % of Undergrad'!$A$3,"State","TX","Category2","Group3")</f>
        <v>0</v>
      </c>
      <c r="J211" s="1"/>
      <c r="K211" s="1"/>
      <c r="L211" s="1"/>
      <c r="M211" s="346"/>
    </row>
    <row r="212" spans="1:13">
      <c r="A212" s="1" t="s">
        <v>434</v>
      </c>
      <c r="B212" s="33">
        <f>+'OLD Tables 44-50'!G120+'OLD Tables 44-50'!G151</f>
        <v>0</v>
      </c>
      <c r="C212" s="359">
        <f>+GETPIVOTDATA("Sum of Old-HS % of Total",'Pivot-HS Student % of Undergrad'!$A$3,"State","VA","Category",12,"Category2","Technical")</f>
        <v>0</v>
      </c>
      <c r="D212" s="313">
        <f>+'OLD Tables 44-50'!H120+'OLD Tables 44-50'!H151</f>
        <v>0</v>
      </c>
      <c r="E212" s="359">
        <f>+GETPIVOTDATA("Sum of Old-HS % of Total",'Pivot-HS Student % of Undergrad'!$A$3,"State","VA","Category",13,"Category2","Technical")</f>
        <v>0</v>
      </c>
      <c r="F212" s="311">
        <f>+'OLD Tables 44-50'!I120+'OLD Tables 44-50'!I151</f>
        <v>0</v>
      </c>
      <c r="G212" s="359">
        <f>+GETPIVOTDATA("Sum of Old-HS % of Total",'Pivot-HS Student % of Undergrad'!$A$3,"State","VA","Category",14,"Category2","Technical")</f>
        <v>0</v>
      </c>
      <c r="H212" s="313">
        <f>+'OLD Tables 44-50'!J120+'OLD Tables 44-50'!J151</f>
        <v>0</v>
      </c>
      <c r="I212" s="108">
        <f>+GETPIVOTDATA("Sum of Old-HS % of Total",'Pivot-HS Student % of Undergrad'!$A$3,"State","VA","Category2","Group3")</f>
        <v>0</v>
      </c>
      <c r="J212" s="1"/>
      <c r="K212" s="1"/>
      <c r="L212" s="1"/>
      <c r="M212" s="346"/>
    </row>
    <row r="213" spans="1:13">
      <c r="A213" s="3" t="s">
        <v>435</v>
      </c>
      <c r="B213" s="9">
        <f>+'OLD Tables 44-50'!G121+'OLD Tables 44-50'!G152</f>
        <v>0</v>
      </c>
      <c r="C213" s="361">
        <f>+GETPIVOTDATA("Sum of Old-HS % of Total",'Pivot-HS Student % of Undergrad'!$A$3,"State","WV","Category",12,"Category2","Technical")</f>
        <v>0</v>
      </c>
      <c r="D213" s="314">
        <f>+'OLD Tables 44-50'!H121+'OLD Tables 44-50'!H152</f>
        <v>0</v>
      </c>
      <c r="E213" s="361">
        <f>+GETPIVOTDATA("Sum of Old-HS % of Total",'Pivot-HS Student % of Undergrad'!$A$3,"State","WV","Category",13,"Category2","Technical")</f>
        <v>0</v>
      </c>
      <c r="F213" s="312">
        <f>+'OLD Tables 44-50'!I121+'OLD Tables 44-50'!I152</f>
        <v>0</v>
      </c>
      <c r="G213" s="361">
        <f>+GETPIVOTDATA("Sum of Old-HS % of Total",'Pivot-HS Student % of Undergrad'!$A$3,"State","WV","Category",14,"Category2","Technical")</f>
        <v>0</v>
      </c>
      <c r="H213" s="314">
        <f>+'OLD Tables 44-50'!J121+'OLD Tables 44-50'!J152</f>
        <v>0</v>
      </c>
      <c r="I213" s="361">
        <f>+GETPIVOTDATA("Sum of Old-HS % of Total",'Pivot-HS Student % of Undergrad'!$A$3,"State","WV","Category2","Group3")</f>
        <v>0</v>
      </c>
      <c r="J213" s="1"/>
      <c r="K213" s="1"/>
      <c r="L213" s="1"/>
      <c r="M213" s="346"/>
    </row>
    <row r="214" spans="1:13">
      <c r="A214" s="77"/>
      <c r="J214" s="1"/>
      <c r="K214" s="1"/>
      <c r="L214" s="1"/>
      <c r="M214" s="346"/>
    </row>
    <row r="215" spans="1:13" ht="54" customHeight="1">
      <c r="A215" s="793" t="s">
        <v>80</v>
      </c>
      <c r="B215" s="793"/>
      <c r="C215" s="793"/>
      <c r="D215" s="793"/>
      <c r="E215" s="793"/>
      <c r="F215" s="793"/>
      <c r="G215" s="793"/>
      <c r="H215" s="793"/>
      <c r="I215" s="793"/>
      <c r="J215" s="1"/>
      <c r="K215" s="1"/>
      <c r="L215" s="1"/>
      <c r="M215" s="346"/>
    </row>
    <row r="216" spans="1:13" ht="10.5" customHeight="1">
      <c r="A216" s="658"/>
      <c r="B216" s="658"/>
      <c r="C216" s="658"/>
      <c r="D216" s="658"/>
      <c r="E216" s="658"/>
      <c r="F216" s="658"/>
      <c r="G216" s="658"/>
      <c r="H216" s="658"/>
      <c r="I216" s="307" t="s">
        <v>876</v>
      </c>
      <c r="J216" s="1"/>
      <c r="K216" s="1"/>
      <c r="L216" s="1"/>
      <c r="M216" s="346"/>
    </row>
    <row r="217" spans="1:13" ht="18">
      <c r="A217" s="384" t="s">
        <v>929</v>
      </c>
      <c r="B217" s="20"/>
      <c r="C217" s="20"/>
      <c r="D217" s="35"/>
      <c r="E217" s="17"/>
      <c r="F217" s="22"/>
      <c r="G217" s="22"/>
      <c r="H217" s="118"/>
    </row>
    <row r="218" spans="1:13" ht="9.75" customHeight="1">
      <c r="A218" s="21"/>
      <c r="B218" s="21"/>
      <c r="C218" s="21"/>
      <c r="D218" s="36"/>
      <c r="E218" s="17"/>
      <c r="F218" s="22"/>
      <c r="G218" s="22"/>
      <c r="H218" s="118"/>
    </row>
    <row r="219" spans="1:13" ht="15.75">
      <c r="A219" s="44" t="s">
        <v>388</v>
      </c>
      <c r="B219" s="44"/>
      <c r="C219" s="44"/>
      <c r="D219" s="63"/>
      <c r="E219" s="17"/>
      <c r="F219" s="22"/>
      <c r="G219" s="22"/>
      <c r="H219" s="118"/>
    </row>
    <row r="220" spans="1:13" ht="15.75">
      <c r="A220" s="44" t="s">
        <v>381</v>
      </c>
      <c r="B220" s="44"/>
      <c r="C220" s="44"/>
      <c r="D220" s="63"/>
      <c r="E220" s="17"/>
      <c r="F220" s="22"/>
      <c r="G220" s="22"/>
      <c r="H220" s="118"/>
    </row>
    <row r="221" spans="1:13" ht="15.75">
      <c r="A221" s="44" t="s">
        <v>967</v>
      </c>
      <c r="B221" s="44"/>
      <c r="C221" s="44"/>
      <c r="D221" s="63"/>
      <c r="E221" s="17"/>
      <c r="F221" s="22"/>
      <c r="G221" s="22"/>
      <c r="H221" s="118"/>
      <c r="I221" s="25"/>
    </row>
    <row r="222" spans="1:13" ht="13.5" customHeight="1">
      <c r="B222" s="2"/>
      <c r="C222" s="2"/>
      <c r="D222" s="26"/>
      <c r="I222" s="25"/>
    </row>
    <row r="223" spans="1:13" ht="63" customHeight="1">
      <c r="A223" s="64"/>
      <c r="B223" s="65" t="s">
        <v>418</v>
      </c>
      <c r="C223" s="37"/>
      <c r="D223" s="65" t="s">
        <v>419</v>
      </c>
      <c r="E223" s="66" t="s">
        <v>380</v>
      </c>
      <c r="F223" s="66" t="s">
        <v>397</v>
      </c>
      <c r="G223" s="67" t="s">
        <v>380</v>
      </c>
      <c r="H223" s="133" t="s">
        <v>411</v>
      </c>
      <c r="I223" s="75"/>
    </row>
    <row r="224" spans="1:13" ht="15" customHeight="1">
      <c r="A224" s="1" t="s">
        <v>420</v>
      </c>
      <c r="B224" s="68">
        <f>+GETPIVOTDATA("Grand Total FTE - Old",'FTE Pivot for regular counts'!$A$2,"Category2","Four-Year")</f>
        <v>2181530.8436111109</v>
      </c>
      <c r="D224" s="15">
        <f>+GETPIVOTDATA("Grand Total FTE - Old",'FTE Pivot for regular counts'!$A$2,"Category2","Two-Year")</f>
        <v>1637737.8439999998</v>
      </c>
      <c r="F224" s="40">
        <f>+GETPIVOTDATA("Grand Total FTE - Old",'FTE Pivot for regular counts'!$A$2,"Category2","Technical")</f>
        <v>133065.83213333334</v>
      </c>
      <c r="G224" s="38"/>
      <c r="H224" s="134">
        <f>+F224+D224+B224</f>
        <v>3952334.5197444442</v>
      </c>
      <c r="I224" s="25"/>
    </row>
    <row r="225" spans="1:9" ht="13.5" customHeight="1">
      <c r="B225" s="15"/>
      <c r="D225" s="15"/>
      <c r="F225" s="40"/>
      <c r="G225" s="38"/>
      <c r="H225" s="134"/>
      <c r="I225" s="25"/>
    </row>
    <row r="226" spans="1:9" ht="15" customHeight="1">
      <c r="A226" s="1" t="s">
        <v>421</v>
      </c>
      <c r="B226" s="15">
        <f>+GETPIVOTDATA("Grand Total FTE - Old",'FTE Pivot for regular counts'!$A$2,"State","AL","Category2","Four-Year")</f>
        <v>123079.50000000001</v>
      </c>
      <c r="D226" s="15">
        <f>+GETPIVOTDATA("Grand Total FTE - Old",'FTE Pivot for regular counts'!$A$2,"State","AL","Category2","Two-Year")</f>
        <v>62666.566666666666</v>
      </c>
      <c r="F226" s="40">
        <f>+GETPIVOTDATA("Grand Total FTE - Old",'FTE Pivot for regular counts'!$A$2,"State","AL","Category2","Technical")</f>
        <v>3110.7666666666664</v>
      </c>
      <c r="G226" s="38"/>
      <c r="H226" s="134">
        <f t="shared" ref="H226:H241" si="0">+F226+D226+B226</f>
        <v>188856.83333333334</v>
      </c>
      <c r="I226" s="25"/>
    </row>
    <row r="227" spans="1:9" ht="15" customHeight="1">
      <c r="A227" s="4" t="s">
        <v>422</v>
      </c>
      <c r="B227" s="15">
        <f>+GETPIVOTDATA("Grand Total FTE - Old",'FTE Pivot for regular counts'!$A$2,"State","AR","Category2","Four-Year")</f>
        <v>71726.983333333323</v>
      </c>
      <c r="D227" s="15">
        <f>+GETPIVOTDATA("Grand Total FTE - Old",'FTE Pivot for regular counts'!$A$2,"State","AR","Category2","Two-Year")</f>
        <v>36740.933333333334</v>
      </c>
      <c r="F227" s="40">
        <f>+GETPIVOTDATA("Grand Total FTE - Old",'FTE Pivot for regular counts'!$A$2,"State","AR","Category2","Technical")</f>
        <v>0</v>
      </c>
      <c r="G227" s="38"/>
      <c r="H227" s="134">
        <f t="shared" si="0"/>
        <v>108467.91666666666</v>
      </c>
      <c r="I227" s="25"/>
    </row>
    <row r="228" spans="1:9" ht="15" customHeight="1">
      <c r="A228" s="1" t="s">
        <v>459</v>
      </c>
      <c r="B228" s="115">
        <f>+GETPIVOTDATA("Grand Total FTE - Old",'FTE Pivot for regular counts'!$A$2,"State","DE","Category2","Four-Year")</f>
        <v>22401.924999999999</v>
      </c>
      <c r="D228" s="15">
        <f>+GETPIVOTDATA("Grand Total FTE - Old",'FTE Pivot for regular counts'!$A$2,"State","DE","Category2","Two-Year")</f>
        <v>9642.5666666666657</v>
      </c>
      <c r="F228" s="40">
        <f>+GETPIVOTDATA("Grand Total FTE - Old",'FTE Pivot for regular counts'!$A$2,"State","DE","Category2","Technical")</f>
        <v>0</v>
      </c>
      <c r="G228" s="38"/>
      <c r="H228" s="134">
        <f t="shared" si="0"/>
        <v>32044.491666666665</v>
      </c>
      <c r="I228" s="25"/>
    </row>
    <row r="229" spans="1:9" ht="15" customHeight="1">
      <c r="A229" s="1" t="s">
        <v>423</v>
      </c>
      <c r="B229" s="15">
        <f>+GETPIVOTDATA("Grand Total FTE - Old",'FTE Pivot for regular counts'!$A$2,"State","FL","Category2","Four-Year")</f>
        <v>269529.0083333333</v>
      </c>
      <c r="D229" s="15">
        <f>+GETPIVOTDATA("Grand Total FTE - Old",'FTE Pivot for regular counts'!$A$2,"State","FL","Category2","Two-Year")</f>
        <v>322367.25444444444</v>
      </c>
      <c r="F229" s="40">
        <f>+GETPIVOTDATA("Grand Total FTE - Old",'FTE Pivot for regular counts'!$A$2,"State","FL","Category2","Technical")</f>
        <v>0</v>
      </c>
      <c r="G229" s="38"/>
      <c r="H229" s="134">
        <f t="shared" si="0"/>
        <v>591896.26277777774</v>
      </c>
      <c r="I229" s="25"/>
    </row>
    <row r="230" spans="1:9" ht="15" customHeight="1">
      <c r="A230" s="1" t="s">
        <v>424</v>
      </c>
      <c r="B230" s="15">
        <f>+GETPIVOTDATA("Grand Total FTE - Old",'FTE Pivot for regular counts'!$A$2,"State","GA","Category2","Four-Year")</f>
        <v>188927.9025</v>
      </c>
      <c r="D230" s="15">
        <f>+GETPIVOTDATA("Grand Total FTE - Old",'FTE Pivot for regular counts'!$A$2,"State","GA","Category2","Two-Year")</f>
        <v>52458.483333333337</v>
      </c>
      <c r="F230" s="40">
        <f>+GETPIVOTDATA("Grand Total FTE - Old",'FTE Pivot for regular counts'!$A$2,"State","GA","Category2","Technical")</f>
        <v>72421.935555555567</v>
      </c>
      <c r="G230" s="38"/>
      <c r="H230" s="134">
        <f t="shared" si="0"/>
        <v>313808.32138888887</v>
      </c>
      <c r="I230" s="25"/>
    </row>
    <row r="231" spans="1:9" ht="15" customHeight="1">
      <c r="A231" s="1" t="s">
        <v>425</v>
      </c>
      <c r="B231" s="15">
        <f>+GETPIVOTDATA("Grand Total FTE - Old",'FTE Pivot for regular counts'!$A$2,"State","KY","Category2","Four-Year")</f>
        <v>97522.916666666672</v>
      </c>
      <c r="D231" s="15">
        <f>+GETPIVOTDATA("Grand Total FTE - Old",'FTE Pivot for regular counts'!$A$2,"State","KY","Category2","Two-Year")</f>
        <v>44844.466666666667</v>
      </c>
      <c r="F231" s="40">
        <f>+GETPIVOTDATA("Grand Total FTE - Old",'FTE Pivot for regular counts'!$A$2,"State","KY","Category2","Technical")</f>
        <v>2928.8666666666668</v>
      </c>
      <c r="G231" s="38"/>
      <c r="H231" s="134">
        <f t="shared" si="0"/>
        <v>145296.25</v>
      </c>
      <c r="I231" s="25"/>
    </row>
    <row r="232" spans="1:9" ht="15" customHeight="1">
      <c r="A232" s="1" t="s">
        <v>426</v>
      </c>
      <c r="B232" s="15">
        <f>+GETPIVOTDATA("Grand Total FTE - Old",'FTE Pivot for regular counts'!$A$2,"State","LA","Category2","Four-Year")</f>
        <v>119134.09027777777</v>
      </c>
      <c r="D232" s="15">
        <f>+GETPIVOTDATA("Grand Total FTE - Old",'FTE Pivot for regular counts'!$A$2,"State","LA","Category2","Two-Year")</f>
        <v>28922.400000000001</v>
      </c>
      <c r="F232" s="40">
        <f>+GETPIVOTDATA("Grand Total FTE - Old",'FTE Pivot for regular counts'!$A$2,"State","LA","Category2","Technical")</f>
        <v>16587.485000000001</v>
      </c>
      <c r="G232" s="38"/>
      <c r="H232" s="134">
        <f t="shared" si="0"/>
        <v>164643.97527777776</v>
      </c>
      <c r="I232" s="25"/>
    </row>
    <row r="233" spans="1:9" ht="15" customHeight="1">
      <c r="A233" s="1" t="s">
        <v>427</v>
      </c>
      <c r="B233" s="15">
        <f>+GETPIVOTDATA("Grand Total FTE - Old",'FTE Pivot for regular counts'!$A$2,"State","MD","Category2","Four-Year")</f>
        <v>96779.143333333326</v>
      </c>
      <c r="D233" s="15">
        <f>+GETPIVOTDATA("Grand Total FTE - Old",'FTE Pivot for regular counts'!$A$2,"State","MD","Category2","Two-Year")</f>
        <v>82283.233333333337</v>
      </c>
      <c r="F233" s="40">
        <f>+GETPIVOTDATA("Grand Total FTE - Old",'FTE Pivot for regular counts'!$A$2,"State","MD","Category2","Technical")</f>
        <v>0</v>
      </c>
      <c r="G233" s="38"/>
      <c r="H233" s="134">
        <f t="shared" si="0"/>
        <v>179062.37666666665</v>
      </c>
      <c r="I233" s="25"/>
    </row>
    <row r="234" spans="1:9" ht="12" customHeight="1">
      <c r="A234" s="1" t="s">
        <v>428</v>
      </c>
      <c r="B234" s="15">
        <f>+GETPIVOTDATA("Grand Total FTE - Old",'FTE Pivot for regular counts'!$A$2,"State","MS","Category2","Four-Year")</f>
        <v>59980.291666666664</v>
      </c>
      <c r="D234" s="15">
        <f>+GETPIVOTDATA("Grand Total FTE - Old",'FTE Pivot for regular counts'!$A$2,"State","MS","Category2","Two-Year")</f>
        <v>58591.666666666672</v>
      </c>
      <c r="F234" s="40">
        <f>+GETPIVOTDATA("Grand Total FTE - Old",'FTE Pivot for regular counts'!$A$2,"State","MS","Category2","Technical")</f>
        <v>0</v>
      </c>
      <c r="G234" s="38"/>
      <c r="H234" s="134">
        <f t="shared" si="0"/>
        <v>118571.95833333334</v>
      </c>
      <c r="I234" s="25"/>
    </row>
    <row r="235" spans="1:9" ht="15" customHeight="1">
      <c r="A235" s="1" t="s">
        <v>429</v>
      </c>
      <c r="B235" s="15">
        <f>+GETPIVOTDATA("Grand Total FTE - Old",'FTE Pivot for regular counts'!$A$2,"State","NC","Category2","Four-Year")</f>
        <v>187703.58333333331</v>
      </c>
      <c r="D235" s="15">
        <f>+GETPIVOTDATA("Grand Total FTE - Old",'FTE Pivot for regular counts'!$A$2,"State","NC","Category2","Two-Year")</f>
        <v>231737</v>
      </c>
      <c r="F235" s="40">
        <f>+GETPIVOTDATA("Grand Total FTE - Old",'FTE Pivot for regular counts'!$A$2,"State","NC","Category2","Technical")</f>
        <v>0</v>
      </c>
      <c r="G235" s="38"/>
      <c r="H235" s="134">
        <f t="shared" si="0"/>
        <v>419440.58333333331</v>
      </c>
      <c r="I235" s="25"/>
    </row>
    <row r="236" spans="1:9" ht="15" customHeight="1">
      <c r="A236" s="1" t="s">
        <v>430</v>
      </c>
      <c r="B236" s="15">
        <f>+GETPIVOTDATA("Grand Total FTE - Old",'FTE Pivot for regular counts'!$A$2,"State","OK","Category2","Four-Year")</f>
        <v>85991.608333333337</v>
      </c>
      <c r="D236" s="15">
        <f>+GETPIVOTDATA("Grand Total FTE - Old",'FTE Pivot for regular counts'!$A$2,"State","OK","Category2","Two-Year")</f>
        <v>46228.799999999996</v>
      </c>
      <c r="F236" s="40">
        <f>+GETPIVOTDATA("Grand Total FTE - Old",'FTE Pivot for regular counts'!$A$2,"State","OK","Category2","Technical")</f>
        <v>26979.522688888886</v>
      </c>
      <c r="G236" s="38"/>
      <c r="H236" s="134">
        <f t="shared" si="0"/>
        <v>159199.93102222221</v>
      </c>
      <c r="I236" s="25"/>
    </row>
    <row r="237" spans="1:9" ht="15" customHeight="1">
      <c r="A237" s="1" t="s">
        <v>431</v>
      </c>
      <c r="B237" s="15">
        <f>+GETPIVOTDATA("Grand Total FTE - Old",'FTE Pivot for regular counts'!$A$2,"State","SC","Category2","Four-Year")</f>
        <v>86531.22083333334</v>
      </c>
      <c r="D237" s="15">
        <f>+GETPIVOTDATA("Grand Total FTE - Old",'FTE Pivot for regular counts'!$A$2,"State","SC","Category2","Two-Year")</f>
        <v>67568.144</v>
      </c>
      <c r="F237" s="40">
        <f>+GETPIVOTDATA("Grand Total FTE - Old",'FTE Pivot for regular counts'!$A$2,"State","SC","Category2","Technical")</f>
        <v>0</v>
      </c>
      <c r="G237" s="38"/>
      <c r="H237" s="134">
        <f t="shared" si="0"/>
        <v>154099.36483333335</v>
      </c>
      <c r="I237" s="25"/>
    </row>
    <row r="238" spans="1:9" ht="15" customHeight="1">
      <c r="A238" s="1" t="s">
        <v>432</v>
      </c>
      <c r="B238" s="15">
        <f>+GETPIVOTDATA("Grand Total FTE - Old",'FTE Pivot for regular counts'!$A$2,"State","TN","Category2","Four-Year")</f>
        <v>113530.85833333332</v>
      </c>
      <c r="D238" s="15">
        <f>+GETPIVOTDATA("Grand Total FTE - Old",'FTE Pivot for regular counts'!$A$2,"State","TN","Category2","Two-Year")</f>
        <v>53531.866666666669</v>
      </c>
      <c r="F238" s="40">
        <f>+GETPIVOTDATA("Grand Total FTE - Old",'FTE Pivot for regular counts'!$A$2,"State","TN","Category2","Technical")</f>
        <v>11037.255555555552</v>
      </c>
      <c r="G238" s="38"/>
      <c r="H238" s="134">
        <f t="shared" si="0"/>
        <v>178099.98055555555</v>
      </c>
      <c r="I238" s="25"/>
    </row>
    <row r="239" spans="1:9" ht="15" customHeight="1">
      <c r="A239" s="1" t="s">
        <v>433</v>
      </c>
      <c r="B239" s="15">
        <f>+GETPIVOTDATA("Grand Total FTE - Old",'FTE Pivot for regular counts'!$A$2,"State","TX","Category2","Four-Year")</f>
        <v>422673.5</v>
      </c>
      <c r="D239" s="15">
        <f>+GETPIVOTDATA("Grand Total FTE - Old",'FTE Pivot for regular counts'!$A$2,"State","TX","Category2","Two-Year")</f>
        <v>418961.9788888889</v>
      </c>
      <c r="F239" s="40">
        <f>+GETPIVOTDATA("Grand Total FTE - Old",'FTE Pivot for regular counts'!$A$2,"State","TX","Category2","Technical")</f>
        <v>0</v>
      </c>
      <c r="G239" s="38"/>
      <c r="H239" s="134">
        <f t="shared" si="0"/>
        <v>841635.47888888884</v>
      </c>
      <c r="I239" s="25"/>
    </row>
    <row r="240" spans="1:9" ht="15" customHeight="1">
      <c r="A240" s="1" t="s">
        <v>434</v>
      </c>
      <c r="B240" s="15">
        <f>+GETPIVOTDATA("Grand Total FTE - Old",'FTE Pivot for regular counts'!$A$2,"State","VA","Category2","Four-Year")</f>
        <v>180201.40833333333</v>
      </c>
      <c r="D240" s="15">
        <f>+GETPIVOTDATA("Grand Total FTE - Old",'FTE Pivot for regular counts'!$A$2,"State","VA","Category2","Two-Year")</f>
        <v>105320.40000000001</v>
      </c>
      <c r="F240" s="40">
        <f>+GETPIVOTDATA("Grand Total FTE - Old",'FTE Pivot for regular counts'!$A$2,"State","VA","Category2","Technical")</f>
        <v>0</v>
      </c>
      <c r="G240" s="38"/>
      <c r="H240" s="134">
        <f t="shared" si="0"/>
        <v>285521.80833333335</v>
      </c>
      <c r="I240" s="25"/>
    </row>
    <row r="241" spans="1:13" ht="15" customHeight="1">
      <c r="A241" s="3" t="s">
        <v>435</v>
      </c>
      <c r="B241" s="6">
        <f>+GETPIVOTDATA("Grand Total FTE - Old",'FTE Pivot for regular counts'!$A$2,"State","WV","Category2","Four-Year")</f>
        <v>55816.903333333335</v>
      </c>
      <c r="C241" s="3"/>
      <c r="D241" s="6">
        <f>+GETPIVOTDATA("Grand Total FTE - Old",'FTE Pivot for regular counts'!$A$2,"State","WV","Category2","Two-Year")</f>
        <v>15872.083333333334</v>
      </c>
      <c r="E241" s="3"/>
      <c r="F241" s="41">
        <f>+GETPIVOTDATA("Grand Total FTE - Old",'FTE Pivot for regular counts'!$A$2,"State","WV","Category2","Technical")</f>
        <v>0</v>
      </c>
      <c r="G241" s="39"/>
      <c r="H241" s="134">
        <f t="shared" si="0"/>
        <v>71688.986666666664</v>
      </c>
      <c r="I241" s="25"/>
    </row>
    <row r="242" spans="1:13" s="25" customFormat="1" ht="20.25" customHeight="1">
      <c r="A242" s="77"/>
      <c r="B242" s="16"/>
      <c r="C242" s="16"/>
      <c r="D242" s="16"/>
      <c r="E242" s="16"/>
      <c r="F242" s="16"/>
      <c r="G242" s="16"/>
      <c r="H242" s="121"/>
      <c r="I242" s="15"/>
      <c r="J242" s="115"/>
      <c r="K242" s="115"/>
      <c r="L242" s="115"/>
      <c r="M242" s="115"/>
    </row>
    <row r="243" spans="1:13" ht="71.25" customHeight="1">
      <c r="A243" s="793" t="s">
        <v>80</v>
      </c>
      <c r="B243" s="794"/>
      <c r="C243" s="794"/>
      <c r="D243" s="794"/>
      <c r="E243" s="794"/>
      <c r="F243" s="794"/>
      <c r="G243" s="794"/>
      <c r="H243" s="794"/>
      <c r="I243" s="25"/>
    </row>
    <row r="244" spans="1:13">
      <c r="H244" s="307"/>
    </row>
    <row r="259" spans="14:15">
      <c r="N259" s="25"/>
      <c r="O259" s="25"/>
    </row>
    <row r="260" spans="14:15">
      <c r="N260" s="25"/>
      <c r="O260" s="25"/>
    </row>
    <row r="261" spans="14:15">
      <c r="N261" s="25"/>
      <c r="O261" s="25"/>
    </row>
    <row r="262" spans="14:15">
      <c r="N262" s="25"/>
      <c r="O262" s="25"/>
    </row>
    <row r="263" spans="14:15">
      <c r="N263" s="25"/>
      <c r="O263" s="25"/>
    </row>
    <row r="264" spans="14:15">
      <c r="N264" s="25"/>
      <c r="O264" s="25"/>
    </row>
    <row r="265" spans="14:15">
      <c r="N265" s="25"/>
      <c r="O265" s="25"/>
    </row>
    <row r="266" spans="14:15">
      <c r="N266" s="25"/>
      <c r="O266" s="25"/>
    </row>
    <row r="267" spans="14:15">
      <c r="N267" s="25"/>
      <c r="O267" s="25"/>
    </row>
  </sheetData>
  <mergeCells count="15">
    <mergeCell ref="A184:K184"/>
    <mergeCell ref="A215:I215"/>
    <mergeCell ref="A243:H243"/>
    <mergeCell ref="A97:J97"/>
    <mergeCell ref="A123:J123"/>
    <mergeCell ref="A125:J125"/>
    <mergeCell ref="A127:J127"/>
    <mergeCell ref="A128:J128"/>
    <mergeCell ref="A154:J154"/>
    <mergeCell ref="A96:J96"/>
    <mergeCell ref="B6:G6"/>
    <mergeCell ref="A30:O30"/>
    <mergeCell ref="A61:H61"/>
    <mergeCell ref="A92:H92"/>
    <mergeCell ref="A94:J94"/>
  </mergeCells>
  <printOptions horizontalCentered="1"/>
  <pageMargins left="0.5" right="0.5" top="1" bottom="0.85" header="0.75" footer="0.5"/>
  <pageSetup scale="96" firstPageNumber="48" fitToHeight="7" orientation="landscape" useFirstPageNumber="1" r:id="rId1"/>
  <headerFooter alignWithMargins="0">
    <oddHeader>&amp;RSREB-State Data Exchange</oddHeader>
    <oddFooter>&amp;C&amp;10&amp;P</oddFooter>
  </headerFooter>
  <rowBreaks count="6" manualBreakCount="6">
    <brk id="31" max="14" man="1"/>
    <brk id="62" max="14" man="1"/>
    <brk id="93" max="14" man="1"/>
    <brk id="124" max="14" man="1"/>
    <brk id="155" max="14" man="1"/>
    <brk id="185" max="14" man="1"/>
  </rowBreaks>
  <legacyDrawing r:id="rId2"/>
</worksheet>
</file>

<file path=xl/worksheets/sheet3.xml><?xml version="1.0" encoding="utf-8"?>
<worksheet xmlns="http://schemas.openxmlformats.org/spreadsheetml/2006/main" xmlns:r="http://schemas.openxmlformats.org/officeDocument/2006/relationships">
  <sheetPr codeName="Sheet2" enableFormatConditionsCalculation="0">
    <tabColor indexed="17"/>
  </sheetPr>
  <dimension ref="A1:AH220"/>
  <sheetViews>
    <sheetView zoomScale="80" zoomScaleNormal="80" workbookViewId="0">
      <pane xSplit="2" ySplit="4" topLeftCell="C137" activePane="bottomRight" state="frozen"/>
      <selection pane="topRight" activeCell="C1" sqref="C1"/>
      <selection pane="bottomLeft" activeCell="A5" sqref="A5"/>
      <selection pane="bottomRight" activeCell="M175" sqref="M175"/>
    </sheetView>
  </sheetViews>
  <sheetFormatPr defaultRowHeight="12.75"/>
  <cols>
    <col min="1" max="1" width="7.5" style="364" customWidth="1"/>
    <col min="2" max="2" width="46.83203125" style="365" customWidth="1"/>
    <col min="3" max="8" width="17.33203125" style="366" customWidth="1"/>
    <col min="9" max="9" width="18.1640625" style="366" customWidth="1"/>
    <col min="10" max="12" width="15.33203125" style="366" customWidth="1"/>
    <col min="13" max="13" width="15.33203125" style="367" customWidth="1"/>
    <col min="14" max="14" width="18.1640625" style="366" customWidth="1"/>
    <col min="15" max="17" width="14.5" style="363" customWidth="1"/>
    <col min="18" max="18" width="17.33203125" style="363" customWidth="1"/>
    <col min="19" max="19" width="10" style="363" customWidth="1"/>
    <col min="20" max="20" width="12.33203125" style="363" customWidth="1"/>
    <col min="21" max="21" width="11.1640625" style="363" customWidth="1"/>
    <col min="22" max="22" width="12.33203125" style="363" customWidth="1"/>
    <col min="23" max="23" width="7.5" style="363" customWidth="1"/>
    <col min="24" max="24" width="11" style="363" customWidth="1"/>
    <col min="25" max="25" width="10" style="363" customWidth="1"/>
    <col min="26" max="26" width="12.33203125" style="363" customWidth="1"/>
    <col min="27" max="27" width="10" style="363" bestFit="1" customWidth="1"/>
    <col min="28" max="28" width="12.33203125" style="363" customWidth="1"/>
    <col min="29" max="30" width="20.83203125" style="363" customWidth="1"/>
    <col min="31" max="31" width="11.83203125" style="363" customWidth="1"/>
    <col min="32" max="32" width="9.5" style="363" bestFit="1" customWidth="1"/>
    <col min="33" max="16384" width="9.33203125" style="363"/>
  </cols>
  <sheetData>
    <row r="1" spans="1:28" s="74" customFormat="1">
      <c r="A1" s="87"/>
      <c r="B1" s="86"/>
      <c r="C1" s="4"/>
      <c r="D1" s="4"/>
      <c r="E1" s="4" t="s">
        <v>380</v>
      </c>
      <c r="F1" s="4"/>
      <c r="G1" s="4"/>
      <c r="H1" s="4"/>
      <c r="I1" s="4"/>
      <c r="J1" s="4"/>
      <c r="K1" s="4"/>
      <c r="L1" s="4"/>
      <c r="M1" s="85"/>
      <c r="N1" s="4"/>
      <c r="S1" s="600" t="s">
        <v>389</v>
      </c>
      <c r="T1" s="600"/>
      <c r="U1" s="600"/>
      <c r="V1" s="600"/>
      <c r="W1" s="600"/>
      <c r="X1" s="600"/>
      <c r="Y1" s="600"/>
      <c r="Z1" s="600"/>
      <c r="AA1" s="600"/>
      <c r="AB1" s="600"/>
    </row>
    <row r="2" spans="1:28">
      <c r="A2" s="435"/>
      <c r="B2" s="436"/>
      <c r="C2" s="437" t="s">
        <v>394</v>
      </c>
      <c r="D2" s="438" t="s">
        <v>462</v>
      </c>
      <c r="E2" s="438"/>
      <c r="F2" s="438"/>
      <c r="G2" s="438"/>
      <c r="H2" s="438"/>
      <c r="I2" s="438"/>
      <c r="J2" s="448"/>
      <c r="K2" s="438"/>
      <c r="L2" s="438"/>
      <c r="M2" s="439"/>
      <c r="N2" s="441"/>
      <c r="O2" s="448"/>
      <c r="P2" s="438"/>
      <c r="Q2" s="438"/>
      <c r="R2" s="438"/>
      <c r="S2" s="607"/>
      <c r="T2" s="607"/>
      <c r="U2" s="607"/>
      <c r="V2" s="607"/>
      <c r="W2" s="607"/>
      <c r="X2" s="607"/>
      <c r="Y2" s="607"/>
      <c r="Z2" s="607"/>
      <c r="AA2" s="607"/>
      <c r="AB2" s="608"/>
    </row>
    <row r="3" spans="1:28" s="74" customFormat="1">
      <c r="A3" s="435"/>
      <c r="B3" s="436"/>
      <c r="C3" s="437" t="s">
        <v>418</v>
      </c>
      <c r="D3" s="438"/>
      <c r="E3" s="438"/>
      <c r="F3" s="438"/>
      <c r="G3" s="438"/>
      <c r="H3" s="438"/>
      <c r="I3" s="601" t="s">
        <v>73</v>
      </c>
      <c r="J3" s="437" t="s">
        <v>436</v>
      </c>
      <c r="K3" s="438"/>
      <c r="L3" s="438"/>
      <c r="M3" s="438"/>
      <c r="N3" s="601" t="s">
        <v>74</v>
      </c>
      <c r="O3" s="437" t="s">
        <v>374</v>
      </c>
      <c r="P3" s="438"/>
      <c r="Q3" s="438"/>
      <c r="R3" s="601" t="s">
        <v>75</v>
      </c>
      <c r="S3" s="603" t="s">
        <v>726</v>
      </c>
      <c r="T3" s="603" t="s">
        <v>65</v>
      </c>
      <c r="U3" s="603" t="s">
        <v>604</v>
      </c>
      <c r="V3" s="603" t="s">
        <v>66</v>
      </c>
      <c r="W3" s="603" t="s">
        <v>861</v>
      </c>
      <c r="X3" s="603" t="s">
        <v>869</v>
      </c>
      <c r="Y3" s="603" t="s">
        <v>862</v>
      </c>
      <c r="Z3" s="603" t="s">
        <v>870</v>
      </c>
      <c r="AA3" s="603" t="s">
        <v>980</v>
      </c>
      <c r="AB3" s="605" t="s">
        <v>981</v>
      </c>
    </row>
    <row r="4" spans="1:28">
      <c r="A4" s="435" t="s">
        <v>463</v>
      </c>
      <c r="B4" s="440" t="s">
        <v>410</v>
      </c>
      <c r="C4" s="450">
        <v>1</v>
      </c>
      <c r="D4" s="451">
        <v>2</v>
      </c>
      <c r="E4" s="451">
        <v>3</v>
      </c>
      <c r="F4" s="451">
        <v>4</v>
      </c>
      <c r="G4" s="451">
        <v>5</v>
      </c>
      <c r="H4" s="451">
        <v>6</v>
      </c>
      <c r="I4" s="602"/>
      <c r="J4" s="452" t="s">
        <v>413</v>
      </c>
      <c r="K4" s="453" t="s">
        <v>414</v>
      </c>
      <c r="L4" s="453" t="s">
        <v>415</v>
      </c>
      <c r="M4" s="453" t="s">
        <v>416</v>
      </c>
      <c r="N4" s="602"/>
      <c r="O4" s="452" t="s">
        <v>375</v>
      </c>
      <c r="P4" s="453" t="s">
        <v>376</v>
      </c>
      <c r="Q4" s="451">
        <v>14</v>
      </c>
      <c r="R4" s="602"/>
      <c r="S4" s="612" t="s">
        <v>726</v>
      </c>
      <c r="T4" s="609"/>
      <c r="U4" s="612" t="s">
        <v>604</v>
      </c>
      <c r="V4" s="609"/>
      <c r="W4" s="603" t="s">
        <v>861</v>
      </c>
      <c r="X4" s="610"/>
      <c r="Y4" s="603" t="s">
        <v>862</v>
      </c>
      <c r="Z4" s="610"/>
      <c r="AA4" s="603" t="s">
        <v>980</v>
      </c>
      <c r="AB4" s="611"/>
    </row>
    <row r="5" spans="1:28">
      <c r="A5" s="442" t="s">
        <v>84</v>
      </c>
      <c r="B5" s="440" t="s">
        <v>443</v>
      </c>
      <c r="C5" s="437">
        <v>48838.3</v>
      </c>
      <c r="D5" s="441">
        <v>4992.8</v>
      </c>
      <c r="E5" s="441">
        <v>30084.333333333336</v>
      </c>
      <c r="F5" s="441">
        <v>13580.433333333334</v>
      </c>
      <c r="G5" s="441">
        <v>4048.2666666666669</v>
      </c>
      <c r="H5" s="441">
        <v>2656.3666666666668</v>
      </c>
      <c r="I5" s="437">
        <v>104200.50000000001</v>
      </c>
      <c r="J5" s="437"/>
      <c r="K5" s="441">
        <v>12510.366666666665</v>
      </c>
      <c r="L5" s="441">
        <v>35622.333333333336</v>
      </c>
      <c r="M5" s="441">
        <v>14533.866666666669</v>
      </c>
      <c r="N5" s="437">
        <v>62666.566666666666</v>
      </c>
      <c r="O5" s="437">
        <v>1225.2666666666667</v>
      </c>
      <c r="P5" s="441">
        <v>1885.5</v>
      </c>
      <c r="Q5" s="441"/>
      <c r="R5" s="437">
        <v>3110.7666666666664</v>
      </c>
      <c r="S5" s="603"/>
      <c r="T5" s="603"/>
      <c r="U5" s="603"/>
      <c r="V5" s="603"/>
      <c r="W5" s="603"/>
      <c r="X5" s="603"/>
      <c r="Y5" s="603"/>
      <c r="Z5" s="603"/>
      <c r="AA5" s="603"/>
      <c r="AB5" s="605"/>
    </row>
    <row r="6" spans="1:28">
      <c r="A6" s="443"/>
      <c r="B6" s="444" t="s">
        <v>441</v>
      </c>
      <c r="C6" s="445">
        <v>50208.73333333333</v>
      </c>
      <c r="D6" s="446">
        <v>5262.9333333333334</v>
      </c>
      <c r="E6" s="446">
        <v>31034.5</v>
      </c>
      <c r="F6" s="446">
        <v>13767.833333333332</v>
      </c>
      <c r="G6" s="446">
        <v>4185.0333333333338</v>
      </c>
      <c r="H6" s="446">
        <v>2789.9666666666667</v>
      </c>
      <c r="I6" s="445">
        <v>107248.99999999999</v>
      </c>
      <c r="J6" s="445"/>
      <c r="K6" s="446">
        <v>13331</v>
      </c>
      <c r="L6" s="446">
        <v>40127.833333333328</v>
      </c>
      <c r="M6" s="446">
        <v>16089.9</v>
      </c>
      <c r="N6" s="445">
        <v>69548.733333333323</v>
      </c>
      <c r="O6" s="445">
        <v>1467.3</v>
      </c>
      <c r="P6" s="446">
        <v>2415.7333333333331</v>
      </c>
      <c r="Q6" s="446"/>
      <c r="R6" s="445">
        <v>3883.0333333333328</v>
      </c>
      <c r="S6" s="604"/>
      <c r="T6" s="604"/>
      <c r="U6" s="604"/>
      <c r="V6" s="604"/>
      <c r="W6" s="604"/>
      <c r="X6" s="604"/>
      <c r="Y6" s="604"/>
      <c r="Z6" s="604"/>
      <c r="AA6" s="604"/>
      <c r="AB6" s="606"/>
    </row>
    <row r="7" spans="1:28" s="74" customFormat="1">
      <c r="A7" s="443"/>
      <c r="B7" s="447" t="s">
        <v>455</v>
      </c>
      <c r="C7" s="613">
        <v>2.8060627280911229E-2</v>
      </c>
      <c r="D7" s="614">
        <v>5.4104577257918042E-2</v>
      </c>
      <c r="E7" s="614">
        <v>3.1583437669661867E-2</v>
      </c>
      <c r="F7" s="614">
        <v>1.3799265119178656E-2</v>
      </c>
      <c r="G7" s="614">
        <v>3.3784006323694139E-2</v>
      </c>
      <c r="H7" s="614">
        <v>5.0294261585373472E-2</v>
      </c>
      <c r="I7" s="613">
        <v>2.925609761949291E-2</v>
      </c>
      <c r="J7" s="613">
        <v>0</v>
      </c>
      <c r="K7" s="614">
        <v>6.5596265497147838E-2</v>
      </c>
      <c r="L7" s="625">
        <v>0.12647964292063946</v>
      </c>
      <c r="M7" s="614">
        <v>0.10706258485927105</v>
      </c>
      <c r="N7" s="613">
        <v>0.10982198375848456</v>
      </c>
      <c r="O7" s="625">
        <v>0.19753523042602969</v>
      </c>
      <c r="P7" s="625">
        <v>0.28121629983205149</v>
      </c>
      <c r="Q7" s="614">
        <v>0</v>
      </c>
      <c r="R7" s="613">
        <v>0.24825605692058758</v>
      </c>
      <c r="S7" s="615">
        <v>0</v>
      </c>
      <c r="T7" s="615">
        <v>0</v>
      </c>
      <c r="U7" s="615">
        <v>0</v>
      </c>
      <c r="V7" s="615">
        <v>0</v>
      </c>
      <c r="W7" s="615">
        <v>0</v>
      </c>
      <c r="X7" s="615">
        <v>0</v>
      </c>
      <c r="Y7" s="615">
        <v>0</v>
      </c>
      <c r="Z7" s="615">
        <v>0</v>
      </c>
      <c r="AA7" s="615">
        <v>0</v>
      </c>
      <c r="AB7" s="616">
        <v>0</v>
      </c>
    </row>
    <row r="8" spans="1:28" s="74" customFormat="1">
      <c r="A8" s="443"/>
      <c r="B8" s="444" t="s">
        <v>439</v>
      </c>
      <c r="C8" s="445">
        <v>0</v>
      </c>
      <c r="D8" s="446">
        <v>0</v>
      </c>
      <c r="E8" s="446">
        <v>0</v>
      </c>
      <c r="F8" s="446">
        <v>0</v>
      </c>
      <c r="G8" s="446">
        <v>0</v>
      </c>
      <c r="H8" s="446">
        <v>0</v>
      </c>
      <c r="I8" s="445">
        <v>0</v>
      </c>
      <c r="J8" s="445"/>
      <c r="K8" s="446">
        <v>0</v>
      </c>
      <c r="L8" s="446">
        <v>0</v>
      </c>
      <c r="M8" s="446">
        <v>0</v>
      </c>
      <c r="N8" s="445">
        <v>0</v>
      </c>
      <c r="O8" s="618">
        <v>0</v>
      </c>
      <c r="P8" s="446">
        <v>0</v>
      </c>
      <c r="Q8" s="446"/>
      <c r="R8" s="445">
        <v>0</v>
      </c>
      <c r="S8" s="604"/>
      <c r="T8" s="604"/>
      <c r="U8" s="604"/>
      <c r="V8" s="604"/>
      <c r="W8" s="604"/>
      <c r="X8" s="604"/>
      <c r="Y8" s="604"/>
      <c r="Z8" s="604"/>
      <c r="AA8" s="604"/>
      <c r="AB8" s="606"/>
    </row>
    <row r="9" spans="1:28" s="74" customFormat="1">
      <c r="A9" s="443"/>
      <c r="B9" s="444" t="s">
        <v>437</v>
      </c>
      <c r="C9" s="445">
        <v>0</v>
      </c>
      <c r="D9" s="446">
        <v>0</v>
      </c>
      <c r="E9" s="446">
        <v>0</v>
      </c>
      <c r="F9" s="446">
        <v>0</v>
      </c>
      <c r="G9" s="446">
        <v>0</v>
      </c>
      <c r="H9" s="446">
        <v>0</v>
      </c>
      <c r="I9" s="445">
        <v>0</v>
      </c>
      <c r="J9" s="445"/>
      <c r="K9" s="446">
        <v>0</v>
      </c>
      <c r="L9" s="446">
        <v>0</v>
      </c>
      <c r="M9" s="446">
        <v>0</v>
      </c>
      <c r="N9" s="445">
        <v>0</v>
      </c>
      <c r="O9" s="618">
        <v>0</v>
      </c>
      <c r="P9" s="446">
        <v>0</v>
      </c>
      <c r="Q9" s="446"/>
      <c r="R9" s="445">
        <v>0</v>
      </c>
      <c r="S9" s="604"/>
      <c r="T9" s="604"/>
      <c r="U9" s="604"/>
      <c r="V9" s="604"/>
      <c r="W9" s="604"/>
      <c r="X9" s="604"/>
      <c r="Y9" s="604"/>
      <c r="Z9" s="604"/>
      <c r="AA9" s="604"/>
      <c r="AB9" s="606"/>
    </row>
    <row r="10" spans="1:28" s="74" customFormat="1">
      <c r="A10" s="443"/>
      <c r="B10" s="447" t="s">
        <v>457</v>
      </c>
      <c r="C10" s="613">
        <v>0</v>
      </c>
      <c r="D10" s="614">
        <v>0</v>
      </c>
      <c r="E10" s="614">
        <v>0</v>
      </c>
      <c r="F10" s="614">
        <v>0</v>
      </c>
      <c r="G10" s="614">
        <v>0</v>
      </c>
      <c r="H10" s="614">
        <v>0</v>
      </c>
      <c r="I10" s="613">
        <v>0</v>
      </c>
      <c r="J10" s="613">
        <v>0</v>
      </c>
      <c r="K10" s="614">
        <v>0</v>
      </c>
      <c r="L10" s="614">
        <v>0</v>
      </c>
      <c r="M10" s="614">
        <v>0</v>
      </c>
      <c r="N10" s="613">
        <v>0</v>
      </c>
      <c r="O10" s="617">
        <v>0</v>
      </c>
      <c r="P10" s="614">
        <v>0</v>
      </c>
      <c r="Q10" s="614">
        <v>0</v>
      </c>
      <c r="R10" s="613">
        <v>0</v>
      </c>
      <c r="S10" s="615">
        <v>0</v>
      </c>
      <c r="T10" s="615">
        <v>0</v>
      </c>
      <c r="U10" s="615">
        <v>0</v>
      </c>
      <c r="V10" s="615">
        <v>0</v>
      </c>
      <c r="W10" s="615">
        <v>0</v>
      </c>
      <c r="X10" s="615">
        <v>0</v>
      </c>
      <c r="Y10" s="615">
        <v>0</v>
      </c>
      <c r="Z10" s="615">
        <v>0</v>
      </c>
      <c r="AA10" s="615">
        <v>0</v>
      </c>
      <c r="AB10" s="616">
        <v>0</v>
      </c>
    </row>
    <row r="11" spans="1:28" s="74" customFormat="1">
      <c r="A11" s="443"/>
      <c r="B11" s="444" t="s">
        <v>445</v>
      </c>
      <c r="C11" s="445">
        <v>8986.75</v>
      </c>
      <c r="D11" s="446">
        <v>885.25</v>
      </c>
      <c r="E11" s="446">
        <v>4691.166666666667</v>
      </c>
      <c r="F11" s="446">
        <v>2251.125</v>
      </c>
      <c r="G11" s="446">
        <v>2064.708333333333</v>
      </c>
      <c r="H11" s="446">
        <v>0</v>
      </c>
      <c r="I11" s="445">
        <v>18879</v>
      </c>
      <c r="J11" s="445"/>
      <c r="K11" s="446">
        <v>0</v>
      </c>
      <c r="L11" s="446">
        <v>0</v>
      </c>
      <c r="M11" s="446">
        <v>0</v>
      </c>
      <c r="N11" s="445">
        <v>0</v>
      </c>
      <c r="O11" s="618">
        <v>0</v>
      </c>
      <c r="P11" s="446">
        <v>0</v>
      </c>
      <c r="Q11" s="446"/>
      <c r="R11" s="445">
        <v>0</v>
      </c>
      <c r="S11" s="604"/>
      <c r="T11" s="604"/>
      <c r="U11" s="604"/>
      <c r="V11" s="604"/>
      <c r="W11" s="604"/>
      <c r="X11" s="604"/>
      <c r="Y11" s="604"/>
      <c r="Z11" s="604"/>
      <c r="AA11" s="604"/>
      <c r="AB11" s="606"/>
    </row>
    <row r="12" spans="1:28" s="74" customFormat="1">
      <c r="A12" s="443"/>
      <c r="B12" s="444" t="s">
        <v>447</v>
      </c>
      <c r="C12" s="445">
        <v>9305.0833333333339</v>
      </c>
      <c r="D12" s="446">
        <v>880.875</v>
      </c>
      <c r="E12" s="446">
        <v>4400.208333333333</v>
      </c>
      <c r="F12" s="446">
        <v>1949.5</v>
      </c>
      <c r="G12" s="446">
        <v>3958.3333333333335</v>
      </c>
      <c r="H12" s="446">
        <v>0</v>
      </c>
      <c r="I12" s="445">
        <v>20494</v>
      </c>
      <c r="J12" s="445"/>
      <c r="K12" s="446">
        <v>0</v>
      </c>
      <c r="L12" s="446">
        <v>0</v>
      </c>
      <c r="M12" s="446">
        <v>0</v>
      </c>
      <c r="N12" s="445">
        <v>0</v>
      </c>
      <c r="O12" s="618">
        <v>0</v>
      </c>
      <c r="P12" s="446">
        <v>0</v>
      </c>
      <c r="Q12" s="446"/>
      <c r="R12" s="445">
        <v>0</v>
      </c>
      <c r="S12" s="604"/>
      <c r="T12" s="604"/>
      <c r="U12" s="604"/>
      <c r="V12" s="604"/>
      <c r="W12" s="604"/>
      <c r="X12" s="604"/>
      <c r="Y12" s="604"/>
      <c r="Z12" s="604"/>
      <c r="AA12" s="604"/>
      <c r="AB12" s="606"/>
    </row>
    <row r="13" spans="1:28" s="74" customFormat="1">
      <c r="A13" s="443"/>
      <c r="B13" s="447" t="s">
        <v>449</v>
      </c>
      <c r="C13" s="613">
        <v>3.5422520191763868E-2</v>
      </c>
      <c r="D13" s="614">
        <v>-4.942106749505789E-3</v>
      </c>
      <c r="E13" s="614">
        <v>-6.2022595658507249E-2</v>
      </c>
      <c r="F13" s="625">
        <v>-0.13398856127491809</v>
      </c>
      <c r="G13" s="625">
        <v>0.91713922466853703</v>
      </c>
      <c r="H13" s="614">
        <v>0</v>
      </c>
      <c r="I13" s="613">
        <v>8.5544785211081095E-2</v>
      </c>
      <c r="J13" s="613">
        <v>0</v>
      </c>
      <c r="K13" s="614">
        <v>0</v>
      </c>
      <c r="L13" s="614">
        <v>0</v>
      </c>
      <c r="M13" s="614">
        <v>0</v>
      </c>
      <c r="N13" s="613">
        <v>0</v>
      </c>
      <c r="O13" s="617">
        <v>0</v>
      </c>
      <c r="P13" s="614">
        <v>0</v>
      </c>
      <c r="Q13" s="614">
        <v>0</v>
      </c>
      <c r="R13" s="613">
        <v>0</v>
      </c>
      <c r="S13" s="615">
        <v>0</v>
      </c>
      <c r="T13" s="615">
        <v>0</v>
      </c>
      <c r="U13" s="615">
        <v>0</v>
      </c>
      <c r="V13" s="615">
        <v>0</v>
      </c>
      <c r="W13" s="615">
        <v>0</v>
      </c>
      <c r="X13" s="615">
        <v>0</v>
      </c>
      <c r="Y13" s="615">
        <v>0</v>
      </c>
      <c r="Z13" s="615">
        <v>0</v>
      </c>
      <c r="AA13" s="615">
        <v>0</v>
      </c>
      <c r="AB13" s="616">
        <v>0</v>
      </c>
    </row>
    <row r="14" spans="1:28" s="74" customFormat="1">
      <c r="A14" s="443"/>
      <c r="B14" s="444" t="s">
        <v>49</v>
      </c>
      <c r="C14" s="445">
        <v>57825.05</v>
      </c>
      <c r="D14" s="446">
        <v>5878.05</v>
      </c>
      <c r="E14" s="446">
        <v>34775.5</v>
      </c>
      <c r="F14" s="446">
        <v>15831.558333333334</v>
      </c>
      <c r="G14" s="446">
        <v>6112.9750000000004</v>
      </c>
      <c r="H14" s="446">
        <v>2656.3666666666668</v>
      </c>
      <c r="I14" s="445">
        <v>123079.50000000001</v>
      </c>
      <c r="J14" s="445"/>
      <c r="K14" s="446">
        <v>12510.366666666665</v>
      </c>
      <c r="L14" s="446">
        <v>35622.333333333336</v>
      </c>
      <c r="M14" s="446">
        <v>14533.866666666669</v>
      </c>
      <c r="N14" s="445">
        <v>62666.566666666666</v>
      </c>
      <c r="O14" s="618">
        <v>1225.2666666666667</v>
      </c>
      <c r="P14" s="446">
        <v>1885.5</v>
      </c>
      <c r="Q14" s="446"/>
      <c r="R14" s="445">
        <v>3110.7666666666664</v>
      </c>
      <c r="S14" s="604"/>
      <c r="T14" s="604"/>
      <c r="U14" s="604"/>
      <c r="V14" s="604"/>
      <c r="W14" s="604"/>
      <c r="X14" s="604"/>
      <c r="Y14" s="604"/>
      <c r="Z14" s="604"/>
      <c r="AA14" s="604"/>
      <c r="AB14" s="606"/>
    </row>
    <row r="15" spans="1:28" s="74" customFormat="1">
      <c r="A15" s="443"/>
      <c r="B15" s="444" t="s">
        <v>451</v>
      </c>
      <c r="C15" s="445">
        <v>59513.816666666666</v>
      </c>
      <c r="D15" s="446">
        <v>6143.8083333333334</v>
      </c>
      <c r="E15" s="446">
        <v>35434.708333333336</v>
      </c>
      <c r="F15" s="446">
        <v>15717.333333333332</v>
      </c>
      <c r="G15" s="446">
        <v>8143.3666666666668</v>
      </c>
      <c r="H15" s="446">
        <v>2789.9666666666667</v>
      </c>
      <c r="I15" s="445">
        <v>127743</v>
      </c>
      <c r="J15" s="445"/>
      <c r="K15" s="446">
        <v>13331</v>
      </c>
      <c r="L15" s="446">
        <v>40127.833333333328</v>
      </c>
      <c r="M15" s="446">
        <v>16089.9</v>
      </c>
      <c r="N15" s="445">
        <v>69548.733333333323</v>
      </c>
      <c r="O15" s="618">
        <v>1467.3</v>
      </c>
      <c r="P15" s="446">
        <v>2415.7333333333331</v>
      </c>
      <c r="Q15" s="446"/>
      <c r="R15" s="445">
        <v>3883.0333333333328</v>
      </c>
      <c r="S15" s="604"/>
      <c r="T15" s="604"/>
      <c r="U15" s="604"/>
      <c r="V15" s="604"/>
      <c r="W15" s="604"/>
      <c r="X15" s="604"/>
      <c r="Y15" s="604"/>
      <c r="Z15" s="604"/>
      <c r="AA15" s="604"/>
      <c r="AB15" s="606"/>
    </row>
    <row r="16" spans="1:28" s="74" customFormat="1">
      <c r="A16" s="443"/>
      <c r="B16" s="447" t="s">
        <v>453</v>
      </c>
      <c r="C16" s="613">
        <v>2.9204759298377826E-2</v>
      </c>
      <c r="D16" s="614">
        <v>4.5211989236793357E-2</v>
      </c>
      <c r="E16" s="614">
        <v>1.8956113739078826E-2</v>
      </c>
      <c r="F16" s="614">
        <v>-7.215019367960861E-3</v>
      </c>
      <c r="G16" s="614">
        <v>0.3321446049863882</v>
      </c>
      <c r="H16" s="614">
        <v>5.0294261585373472E-2</v>
      </c>
      <c r="I16" s="613">
        <v>3.7890144175106215E-2</v>
      </c>
      <c r="J16" s="613">
        <v>0</v>
      </c>
      <c r="K16" s="614">
        <v>6.5596265497147838E-2</v>
      </c>
      <c r="L16" s="614">
        <v>0.12647964292063946</v>
      </c>
      <c r="M16" s="614">
        <v>0.10706258485927105</v>
      </c>
      <c r="N16" s="613">
        <v>0.10982198375848456</v>
      </c>
      <c r="O16" s="619">
        <v>0.19753523042602969</v>
      </c>
      <c r="P16" s="614">
        <v>0.28121629983205149</v>
      </c>
      <c r="Q16" s="614">
        <v>0</v>
      </c>
      <c r="R16" s="613">
        <v>0.24825605692058758</v>
      </c>
      <c r="S16" s="615">
        <v>0</v>
      </c>
      <c r="T16" s="615">
        <v>0</v>
      </c>
      <c r="U16" s="615">
        <v>0</v>
      </c>
      <c r="V16" s="615">
        <v>0</v>
      </c>
      <c r="W16" s="615">
        <v>0</v>
      </c>
      <c r="X16" s="615">
        <v>0</v>
      </c>
      <c r="Y16" s="615">
        <v>0</v>
      </c>
      <c r="Z16" s="615">
        <v>0</v>
      </c>
      <c r="AA16" s="615">
        <v>0</v>
      </c>
      <c r="AB16" s="616">
        <v>0</v>
      </c>
    </row>
    <row r="17" spans="1:28" s="74" customFormat="1">
      <c r="A17" s="442" t="s">
        <v>727</v>
      </c>
      <c r="B17" s="440" t="s">
        <v>443</v>
      </c>
      <c r="C17" s="437">
        <v>14281.666666666666</v>
      </c>
      <c r="D17" s="441"/>
      <c r="E17" s="441">
        <v>25614.033333333333</v>
      </c>
      <c r="F17" s="441">
        <v>9335.5333333333328</v>
      </c>
      <c r="G17" s="441">
        <v>5153.6000000000004</v>
      </c>
      <c r="H17" s="441">
        <v>8373.9</v>
      </c>
      <c r="I17" s="437">
        <v>62758.73333333333</v>
      </c>
      <c r="J17" s="437"/>
      <c r="K17" s="441">
        <v>6341.166666666667</v>
      </c>
      <c r="L17" s="441">
        <v>7718.1666666666661</v>
      </c>
      <c r="M17" s="441">
        <v>22681.599999999999</v>
      </c>
      <c r="N17" s="437">
        <v>36740.933333333334</v>
      </c>
      <c r="O17" s="437"/>
      <c r="P17" s="441"/>
      <c r="Q17" s="441"/>
      <c r="R17" s="437"/>
      <c r="S17" s="603"/>
      <c r="T17" s="603"/>
      <c r="U17" s="603"/>
      <c r="V17" s="603"/>
      <c r="W17" s="603"/>
      <c r="X17" s="603"/>
      <c r="Y17" s="603"/>
      <c r="Z17" s="603"/>
      <c r="AA17" s="603"/>
      <c r="AB17" s="605"/>
    </row>
    <row r="18" spans="1:28" s="74" customFormat="1">
      <c r="A18" s="443"/>
      <c r="B18" s="444" t="s">
        <v>441</v>
      </c>
      <c r="C18" s="445">
        <v>14696.566666666668</v>
      </c>
      <c r="D18" s="446"/>
      <c r="E18" s="446">
        <v>25810.6</v>
      </c>
      <c r="F18" s="446">
        <v>9191.2666666666664</v>
      </c>
      <c r="G18" s="446">
        <v>4788.1000000000004</v>
      </c>
      <c r="H18" s="446">
        <v>9115.7666666666664</v>
      </c>
      <c r="I18" s="445">
        <v>63602.3</v>
      </c>
      <c r="J18" s="445"/>
      <c r="K18" s="446">
        <v>7079.9</v>
      </c>
      <c r="L18" s="446">
        <v>8478.7999999999993</v>
      </c>
      <c r="M18" s="446">
        <v>25153.999999999996</v>
      </c>
      <c r="N18" s="445">
        <v>40712.699999999997</v>
      </c>
      <c r="O18" s="445"/>
      <c r="P18" s="446"/>
      <c r="Q18" s="446"/>
      <c r="R18" s="445"/>
      <c r="S18" s="604"/>
      <c r="T18" s="604"/>
      <c r="U18" s="604"/>
      <c r="V18" s="604"/>
      <c r="W18" s="604"/>
      <c r="X18" s="604"/>
      <c r="Y18" s="604"/>
      <c r="Z18" s="604"/>
      <c r="AA18" s="604"/>
      <c r="AB18" s="606"/>
    </row>
    <row r="19" spans="1:28" s="74" customFormat="1">
      <c r="A19" s="443"/>
      <c r="B19" s="447" t="s">
        <v>455</v>
      </c>
      <c r="C19" s="613">
        <v>2.9051231182168385E-2</v>
      </c>
      <c r="D19" s="614">
        <v>0</v>
      </c>
      <c r="E19" s="614">
        <v>7.6741786078204149E-3</v>
      </c>
      <c r="F19" s="614">
        <v>-1.5453500246370473E-2</v>
      </c>
      <c r="G19" s="625">
        <v>-7.0921297733623087E-2</v>
      </c>
      <c r="H19" s="625">
        <v>8.8592730587500071E-2</v>
      </c>
      <c r="I19" s="613">
        <v>1.3441422760816507E-2</v>
      </c>
      <c r="J19" s="613">
        <v>0</v>
      </c>
      <c r="K19" s="614">
        <v>0.11649801561226893</v>
      </c>
      <c r="L19" s="614">
        <v>9.8551037595283844E-2</v>
      </c>
      <c r="M19" s="614">
        <v>0.10900465575620759</v>
      </c>
      <c r="N19" s="613">
        <v>0.10810195349782449</v>
      </c>
      <c r="O19" s="617">
        <v>0</v>
      </c>
      <c r="P19" s="614">
        <v>0</v>
      </c>
      <c r="Q19" s="614">
        <v>0</v>
      </c>
      <c r="R19" s="613">
        <v>0</v>
      </c>
      <c r="S19" s="615">
        <v>0</v>
      </c>
      <c r="T19" s="615">
        <v>0</v>
      </c>
      <c r="U19" s="615">
        <v>0</v>
      </c>
      <c r="V19" s="615">
        <v>0</v>
      </c>
      <c r="W19" s="615">
        <v>0</v>
      </c>
      <c r="X19" s="615">
        <v>0</v>
      </c>
      <c r="Y19" s="615">
        <v>0</v>
      </c>
      <c r="Z19" s="615">
        <v>0</v>
      </c>
      <c r="AA19" s="615">
        <v>0</v>
      </c>
      <c r="AB19" s="616">
        <v>0</v>
      </c>
    </row>
    <row r="20" spans="1:28" s="74" customFormat="1">
      <c r="A20" s="443"/>
      <c r="B20" s="444" t="s">
        <v>439</v>
      </c>
      <c r="C20" s="445">
        <v>0</v>
      </c>
      <c r="D20" s="446"/>
      <c r="E20" s="446">
        <v>0</v>
      </c>
      <c r="F20" s="446">
        <v>0</v>
      </c>
      <c r="G20" s="446">
        <v>0</v>
      </c>
      <c r="H20" s="446">
        <v>0</v>
      </c>
      <c r="I20" s="445">
        <v>0</v>
      </c>
      <c r="J20" s="445"/>
      <c r="K20" s="446">
        <v>0</v>
      </c>
      <c r="L20" s="446">
        <v>0</v>
      </c>
      <c r="M20" s="446">
        <v>0</v>
      </c>
      <c r="N20" s="445">
        <v>0</v>
      </c>
      <c r="O20" s="618"/>
      <c r="P20" s="446"/>
      <c r="Q20" s="446"/>
      <c r="R20" s="445"/>
      <c r="S20" s="604"/>
      <c r="T20" s="604"/>
      <c r="U20" s="604"/>
      <c r="V20" s="604"/>
      <c r="W20" s="604"/>
      <c r="X20" s="604"/>
      <c r="Y20" s="604"/>
      <c r="Z20" s="604"/>
      <c r="AA20" s="604"/>
      <c r="AB20" s="606"/>
    </row>
    <row r="21" spans="1:28" s="74" customFormat="1">
      <c r="A21" s="443"/>
      <c r="B21" s="444" t="s">
        <v>437</v>
      </c>
      <c r="C21" s="445">
        <v>0</v>
      </c>
      <c r="D21" s="446"/>
      <c r="E21" s="446">
        <v>0</v>
      </c>
      <c r="F21" s="446">
        <v>0</v>
      </c>
      <c r="G21" s="446">
        <v>0</v>
      </c>
      <c r="H21" s="446">
        <v>0</v>
      </c>
      <c r="I21" s="445">
        <v>0</v>
      </c>
      <c r="J21" s="445"/>
      <c r="K21" s="446">
        <v>0</v>
      </c>
      <c r="L21" s="446">
        <v>0</v>
      </c>
      <c r="M21" s="446">
        <v>0</v>
      </c>
      <c r="N21" s="445">
        <v>0</v>
      </c>
      <c r="O21" s="618"/>
      <c r="P21" s="446"/>
      <c r="Q21" s="446"/>
      <c r="R21" s="445"/>
      <c r="S21" s="604"/>
      <c r="T21" s="604"/>
      <c r="U21" s="604"/>
      <c r="V21" s="604"/>
      <c r="W21" s="604"/>
      <c r="X21" s="604"/>
      <c r="Y21" s="604"/>
      <c r="Z21" s="604"/>
      <c r="AA21" s="604"/>
      <c r="AB21" s="606"/>
    </row>
    <row r="22" spans="1:28" s="74" customFormat="1">
      <c r="A22" s="443"/>
      <c r="B22" s="447" t="s">
        <v>457</v>
      </c>
      <c r="C22" s="613">
        <v>0</v>
      </c>
      <c r="D22" s="614">
        <v>0</v>
      </c>
      <c r="E22" s="614">
        <v>0</v>
      </c>
      <c r="F22" s="614">
        <v>0</v>
      </c>
      <c r="G22" s="614">
        <v>0</v>
      </c>
      <c r="H22" s="614">
        <v>0</v>
      </c>
      <c r="I22" s="613">
        <v>0</v>
      </c>
      <c r="J22" s="613">
        <v>0</v>
      </c>
      <c r="K22" s="614">
        <v>0</v>
      </c>
      <c r="L22" s="614">
        <v>0</v>
      </c>
      <c r="M22" s="614">
        <v>0</v>
      </c>
      <c r="N22" s="613">
        <v>0</v>
      </c>
      <c r="O22" s="617">
        <v>0</v>
      </c>
      <c r="P22" s="614">
        <v>0</v>
      </c>
      <c r="Q22" s="614">
        <v>0</v>
      </c>
      <c r="R22" s="613">
        <v>0</v>
      </c>
      <c r="S22" s="615">
        <v>0</v>
      </c>
      <c r="T22" s="615">
        <v>0</v>
      </c>
      <c r="U22" s="615">
        <v>0</v>
      </c>
      <c r="V22" s="615">
        <v>0</v>
      </c>
      <c r="W22" s="615">
        <v>0</v>
      </c>
      <c r="X22" s="615">
        <v>0</v>
      </c>
      <c r="Y22" s="615">
        <v>0</v>
      </c>
      <c r="Z22" s="615">
        <v>0</v>
      </c>
      <c r="AA22" s="615">
        <v>0</v>
      </c>
      <c r="AB22" s="616">
        <v>0</v>
      </c>
    </row>
    <row r="23" spans="1:28" s="74" customFormat="1">
      <c r="A23" s="443"/>
      <c r="B23" s="444" t="s">
        <v>445</v>
      </c>
      <c r="C23" s="445">
        <v>2907.0416666666665</v>
      </c>
      <c r="D23" s="446"/>
      <c r="E23" s="446">
        <v>4700.458333333333</v>
      </c>
      <c r="F23" s="446">
        <v>874.45833333333326</v>
      </c>
      <c r="G23" s="446">
        <v>401.04166666666669</v>
      </c>
      <c r="H23" s="446">
        <v>85.25</v>
      </c>
      <c r="I23" s="445">
        <v>8968.25</v>
      </c>
      <c r="J23" s="445"/>
      <c r="K23" s="446">
        <v>0</v>
      </c>
      <c r="L23" s="446">
        <v>0</v>
      </c>
      <c r="M23" s="446">
        <v>0</v>
      </c>
      <c r="N23" s="445">
        <v>0</v>
      </c>
      <c r="O23" s="618"/>
      <c r="P23" s="446"/>
      <c r="Q23" s="446"/>
      <c r="R23" s="445"/>
      <c r="S23" s="604"/>
      <c r="T23" s="604"/>
      <c r="U23" s="604"/>
      <c r="V23" s="604"/>
      <c r="W23" s="604"/>
      <c r="X23" s="604"/>
      <c r="Y23" s="604"/>
      <c r="Z23" s="604"/>
      <c r="AA23" s="604"/>
      <c r="AB23" s="606"/>
    </row>
    <row r="24" spans="1:28" s="74" customFormat="1">
      <c r="A24" s="443"/>
      <c r="B24" s="444" t="s">
        <v>447</v>
      </c>
      <c r="C24" s="445">
        <v>3009.6666666666665</v>
      </c>
      <c r="D24" s="446"/>
      <c r="E24" s="446">
        <v>5296.4166666666661</v>
      </c>
      <c r="F24" s="446">
        <v>869.08333333333337</v>
      </c>
      <c r="G24" s="446">
        <v>428.20833333333331</v>
      </c>
      <c r="H24" s="446">
        <v>92.375</v>
      </c>
      <c r="I24" s="445">
        <v>9695.75</v>
      </c>
      <c r="J24" s="445"/>
      <c r="K24" s="446">
        <v>0</v>
      </c>
      <c r="L24" s="446">
        <v>0</v>
      </c>
      <c r="M24" s="446">
        <v>0</v>
      </c>
      <c r="N24" s="445">
        <v>0</v>
      </c>
      <c r="O24" s="618"/>
      <c r="P24" s="446"/>
      <c r="Q24" s="446"/>
      <c r="R24" s="445"/>
      <c r="S24" s="604"/>
      <c r="T24" s="604"/>
      <c r="U24" s="604"/>
      <c r="V24" s="604"/>
      <c r="W24" s="604"/>
      <c r="X24" s="604"/>
      <c r="Y24" s="604"/>
      <c r="Z24" s="604"/>
      <c r="AA24" s="604"/>
      <c r="AB24" s="606"/>
    </row>
    <row r="25" spans="1:28" s="74" customFormat="1">
      <c r="A25" s="443"/>
      <c r="B25" s="447" t="s">
        <v>449</v>
      </c>
      <c r="C25" s="613">
        <v>3.5302211583941291E-2</v>
      </c>
      <c r="D25" s="614">
        <v>0</v>
      </c>
      <c r="E25" s="625">
        <v>0.12678728138213466</v>
      </c>
      <c r="F25" s="614">
        <v>-6.146662219469066E-3</v>
      </c>
      <c r="G25" s="614">
        <v>6.7740259740259642E-2</v>
      </c>
      <c r="H25" s="614">
        <v>8.357771260997067E-2</v>
      </c>
      <c r="I25" s="613">
        <v>8.1119504920134922E-2</v>
      </c>
      <c r="J25" s="613">
        <v>0</v>
      </c>
      <c r="K25" s="614">
        <v>0</v>
      </c>
      <c r="L25" s="614">
        <v>0</v>
      </c>
      <c r="M25" s="614">
        <v>0</v>
      </c>
      <c r="N25" s="613">
        <v>0</v>
      </c>
      <c r="O25" s="617">
        <v>0</v>
      </c>
      <c r="P25" s="614">
        <v>0</v>
      </c>
      <c r="Q25" s="614">
        <v>0</v>
      </c>
      <c r="R25" s="613">
        <v>0</v>
      </c>
      <c r="S25" s="615">
        <v>0</v>
      </c>
      <c r="T25" s="615">
        <v>0</v>
      </c>
      <c r="U25" s="615">
        <v>0</v>
      </c>
      <c r="V25" s="615">
        <v>0</v>
      </c>
      <c r="W25" s="615">
        <v>0</v>
      </c>
      <c r="X25" s="615">
        <v>0</v>
      </c>
      <c r="Y25" s="615">
        <v>0</v>
      </c>
      <c r="Z25" s="615">
        <v>0</v>
      </c>
      <c r="AA25" s="615">
        <v>0</v>
      </c>
      <c r="AB25" s="616">
        <v>0</v>
      </c>
    </row>
    <row r="26" spans="1:28" s="74" customFormat="1">
      <c r="A26" s="443"/>
      <c r="B26" s="444" t="s">
        <v>49</v>
      </c>
      <c r="C26" s="445">
        <v>17188.708333333332</v>
      </c>
      <c r="D26" s="446"/>
      <c r="E26" s="446">
        <v>30314.491666666669</v>
      </c>
      <c r="F26" s="446">
        <v>10209.991666666667</v>
      </c>
      <c r="G26" s="446">
        <v>5554.6416666666664</v>
      </c>
      <c r="H26" s="446">
        <v>8459.15</v>
      </c>
      <c r="I26" s="445">
        <v>71726.983333333323</v>
      </c>
      <c r="J26" s="445"/>
      <c r="K26" s="446">
        <v>6341.166666666667</v>
      </c>
      <c r="L26" s="446">
        <v>7718.1666666666661</v>
      </c>
      <c r="M26" s="446">
        <v>22681.599999999999</v>
      </c>
      <c r="N26" s="445">
        <v>36740.933333333334</v>
      </c>
      <c r="O26" s="618"/>
      <c r="P26" s="446"/>
      <c r="Q26" s="446"/>
      <c r="R26" s="445"/>
      <c r="S26" s="604"/>
      <c r="T26" s="604"/>
      <c r="U26" s="604"/>
      <c r="V26" s="604"/>
      <c r="W26" s="604"/>
      <c r="X26" s="604"/>
      <c r="Y26" s="604"/>
      <c r="Z26" s="604"/>
      <c r="AA26" s="604"/>
      <c r="AB26" s="606"/>
    </row>
    <row r="27" spans="1:28" s="74" customFormat="1">
      <c r="A27" s="443"/>
      <c r="B27" s="444" t="s">
        <v>451</v>
      </c>
      <c r="C27" s="445">
        <v>17706.233333333334</v>
      </c>
      <c r="D27" s="446"/>
      <c r="E27" s="446">
        <v>31107.01666666667</v>
      </c>
      <c r="F27" s="446">
        <v>10060.35</v>
      </c>
      <c r="G27" s="446">
        <v>5216.3083333333334</v>
      </c>
      <c r="H27" s="446">
        <v>9208.1416666666664</v>
      </c>
      <c r="I27" s="445">
        <v>73298.05</v>
      </c>
      <c r="J27" s="445"/>
      <c r="K27" s="446">
        <v>7079.9</v>
      </c>
      <c r="L27" s="446">
        <v>8478.7999999999993</v>
      </c>
      <c r="M27" s="446">
        <v>25153.999999999996</v>
      </c>
      <c r="N27" s="445">
        <v>40712.699999999997</v>
      </c>
      <c r="O27" s="618"/>
      <c r="P27" s="446"/>
      <c r="Q27" s="446"/>
      <c r="R27" s="445"/>
      <c r="S27" s="604"/>
      <c r="T27" s="604"/>
      <c r="U27" s="604"/>
      <c r="V27" s="604"/>
      <c r="W27" s="604"/>
      <c r="X27" s="604"/>
      <c r="Y27" s="604"/>
      <c r="Z27" s="604"/>
      <c r="AA27" s="604"/>
      <c r="AB27" s="606"/>
    </row>
    <row r="28" spans="1:28" s="74" customFormat="1">
      <c r="A28" s="443"/>
      <c r="B28" s="447" t="s">
        <v>453</v>
      </c>
      <c r="C28" s="613">
        <v>3.0108428740767402E-2</v>
      </c>
      <c r="D28" s="614">
        <v>0</v>
      </c>
      <c r="E28" s="614">
        <v>2.6143436898579082E-2</v>
      </c>
      <c r="F28" s="614">
        <v>-1.4656394593857791E-2</v>
      </c>
      <c r="G28" s="614">
        <v>-6.0910019698240309E-2</v>
      </c>
      <c r="H28" s="614">
        <v>8.8542190015151262E-2</v>
      </c>
      <c r="I28" s="613">
        <v>2.1903425930594682E-2</v>
      </c>
      <c r="J28" s="613">
        <v>0</v>
      </c>
      <c r="K28" s="614">
        <v>0.11649801561226893</v>
      </c>
      <c r="L28" s="614">
        <v>9.8551037595283844E-2</v>
      </c>
      <c r="M28" s="614">
        <v>0.10900465575620759</v>
      </c>
      <c r="N28" s="613">
        <v>0.10810195349782449</v>
      </c>
      <c r="O28" s="619">
        <v>0</v>
      </c>
      <c r="P28" s="614">
        <v>0</v>
      </c>
      <c r="Q28" s="614">
        <v>0</v>
      </c>
      <c r="R28" s="613">
        <v>0</v>
      </c>
      <c r="S28" s="615">
        <v>0</v>
      </c>
      <c r="T28" s="615">
        <v>0</v>
      </c>
      <c r="U28" s="615">
        <v>0</v>
      </c>
      <c r="V28" s="615">
        <v>0</v>
      </c>
      <c r="W28" s="615">
        <v>0</v>
      </c>
      <c r="X28" s="615">
        <v>0</v>
      </c>
      <c r="Y28" s="615">
        <v>0</v>
      </c>
      <c r="Z28" s="615">
        <v>0</v>
      </c>
      <c r="AA28" s="615">
        <v>0</v>
      </c>
      <c r="AB28" s="616">
        <v>0</v>
      </c>
    </row>
    <row r="29" spans="1:28" s="74" customFormat="1">
      <c r="A29" s="442" t="s">
        <v>48</v>
      </c>
      <c r="B29" s="440" t="s">
        <v>443</v>
      </c>
      <c r="C29" s="437">
        <v>16836.933333333334</v>
      </c>
      <c r="D29" s="441"/>
      <c r="E29" s="441"/>
      <c r="F29" s="441">
        <v>3203.7</v>
      </c>
      <c r="G29" s="441"/>
      <c r="H29" s="441"/>
      <c r="I29" s="437">
        <v>20040.633333333335</v>
      </c>
      <c r="J29" s="437"/>
      <c r="K29" s="441"/>
      <c r="L29" s="441">
        <v>9642.5666666666657</v>
      </c>
      <c r="M29" s="441"/>
      <c r="N29" s="437">
        <v>9642.5666666666657</v>
      </c>
      <c r="O29" s="437"/>
      <c r="P29" s="441"/>
      <c r="Q29" s="441"/>
      <c r="R29" s="437"/>
      <c r="S29" s="603"/>
      <c r="T29" s="603"/>
      <c r="U29" s="603"/>
      <c r="V29" s="603"/>
      <c r="W29" s="603"/>
      <c r="X29" s="603"/>
      <c r="Y29" s="603"/>
      <c r="Z29" s="603"/>
      <c r="AA29" s="603"/>
      <c r="AB29" s="605"/>
    </row>
    <row r="30" spans="1:28" s="74" customFormat="1">
      <c r="A30" s="443"/>
      <c r="B30" s="444" t="s">
        <v>441</v>
      </c>
      <c r="C30" s="445">
        <v>17132.5</v>
      </c>
      <c r="D30" s="446"/>
      <c r="E30" s="446"/>
      <c r="F30" s="446">
        <v>3114.2666666666669</v>
      </c>
      <c r="G30" s="446"/>
      <c r="H30" s="446"/>
      <c r="I30" s="445">
        <v>20246.766666666666</v>
      </c>
      <c r="J30" s="445"/>
      <c r="K30" s="446"/>
      <c r="L30" s="446">
        <v>10906.933333333334</v>
      </c>
      <c r="M30" s="446"/>
      <c r="N30" s="445">
        <v>10906.933333333334</v>
      </c>
      <c r="O30" s="445"/>
      <c r="P30" s="446"/>
      <c r="Q30" s="446"/>
      <c r="R30" s="445"/>
      <c r="S30" s="604"/>
      <c r="T30" s="604"/>
      <c r="U30" s="604"/>
      <c r="V30" s="604"/>
      <c r="W30" s="604"/>
      <c r="X30" s="604"/>
      <c r="Y30" s="604"/>
      <c r="Z30" s="604"/>
      <c r="AA30" s="604"/>
      <c r="AB30" s="606"/>
    </row>
    <row r="31" spans="1:28" s="74" customFormat="1">
      <c r="A31" s="443"/>
      <c r="B31" s="447" t="s">
        <v>455</v>
      </c>
      <c r="C31" s="613">
        <v>1.7554661577325978E-2</v>
      </c>
      <c r="D31" s="614">
        <v>0</v>
      </c>
      <c r="E31" s="614">
        <v>0</v>
      </c>
      <c r="F31" s="614">
        <v>-2.7915639208831333E-2</v>
      </c>
      <c r="G31" s="614">
        <v>0</v>
      </c>
      <c r="H31" s="614">
        <v>0</v>
      </c>
      <c r="I31" s="613">
        <v>1.0285769411811571E-2</v>
      </c>
      <c r="J31" s="613">
        <v>0</v>
      </c>
      <c r="K31" s="614">
        <v>0</v>
      </c>
      <c r="L31" s="614">
        <v>0.13112345606460266</v>
      </c>
      <c r="M31" s="614">
        <v>0</v>
      </c>
      <c r="N31" s="613">
        <v>0.13112345606460266</v>
      </c>
      <c r="O31" s="617">
        <v>0</v>
      </c>
      <c r="P31" s="614">
        <v>0</v>
      </c>
      <c r="Q31" s="614">
        <v>0</v>
      </c>
      <c r="R31" s="613">
        <v>0</v>
      </c>
      <c r="S31" s="615">
        <v>0</v>
      </c>
      <c r="T31" s="615">
        <v>0</v>
      </c>
      <c r="U31" s="615">
        <v>0</v>
      </c>
      <c r="V31" s="615">
        <v>0</v>
      </c>
      <c r="W31" s="615">
        <v>0</v>
      </c>
      <c r="X31" s="615">
        <v>0</v>
      </c>
      <c r="Y31" s="615">
        <v>0</v>
      </c>
      <c r="Z31" s="615">
        <v>0</v>
      </c>
      <c r="AA31" s="615">
        <v>0</v>
      </c>
      <c r="AB31" s="616">
        <v>0</v>
      </c>
    </row>
    <row r="32" spans="1:28" s="74" customFormat="1">
      <c r="A32" s="443"/>
      <c r="B32" s="444" t="s">
        <v>439</v>
      </c>
      <c r="C32" s="445">
        <v>0</v>
      </c>
      <c r="D32" s="446"/>
      <c r="E32" s="446"/>
      <c r="F32" s="446">
        <v>0</v>
      </c>
      <c r="G32" s="446"/>
      <c r="H32" s="446"/>
      <c r="I32" s="445">
        <v>0</v>
      </c>
      <c r="J32" s="445"/>
      <c r="K32" s="446"/>
      <c r="L32" s="446">
        <v>0</v>
      </c>
      <c r="M32" s="446"/>
      <c r="N32" s="445">
        <v>0</v>
      </c>
      <c r="O32" s="618"/>
      <c r="P32" s="446"/>
      <c r="Q32" s="446"/>
      <c r="R32" s="445"/>
      <c r="S32" s="604"/>
      <c r="T32" s="604"/>
      <c r="U32" s="604"/>
      <c r="V32" s="604"/>
      <c r="W32" s="604"/>
      <c r="X32" s="604"/>
      <c r="Y32" s="604"/>
      <c r="Z32" s="604"/>
      <c r="AA32" s="604"/>
      <c r="AB32" s="606"/>
    </row>
    <row r="33" spans="1:28" s="74" customFormat="1">
      <c r="A33" s="443"/>
      <c r="B33" s="444" t="s">
        <v>437</v>
      </c>
      <c r="C33" s="445">
        <v>0</v>
      </c>
      <c r="D33" s="446"/>
      <c r="E33" s="446"/>
      <c r="F33" s="446">
        <v>0</v>
      </c>
      <c r="G33" s="446"/>
      <c r="H33" s="446"/>
      <c r="I33" s="445">
        <v>0</v>
      </c>
      <c r="J33" s="445"/>
      <c r="K33" s="446"/>
      <c r="L33" s="446">
        <v>0</v>
      </c>
      <c r="M33" s="446"/>
      <c r="N33" s="445">
        <v>0</v>
      </c>
      <c r="O33" s="618"/>
      <c r="P33" s="446"/>
      <c r="Q33" s="446"/>
      <c r="R33" s="445"/>
      <c r="S33" s="604"/>
      <c r="T33" s="604"/>
      <c r="U33" s="604"/>
      <c r="V33" s="604"/>
      <c r="W33" s="604"/>
      <c r="X33" s="604"/>
      <c r="Y33" s="604"/>
      <c r="Z33" s="604"/>
      <c r="AA33" s="604"/>
      <c r="AB33" s="606"/>
    </row>
    <row r="34" spans="1:28" s="74" customFormat="1">
      <c r="A34" s="443"/>
      <c r="B34" s="447" t="s">
        <v>457</v>
      </c>
      <c r="C34" s="613">
        <v>0</v>
      </c>
      <c r="D34" s="614">
        <v>0</v>
      </c>
      <c r="E34" s="614">
        <v>0</v>
      </c>
      <c r="F34" s="614">
        <v>0</v>
      </c>
      <c r="G34" s="614">
        <v>0</v>
      </c>
      <c r="H34" s="614">
        <v>0</v>
      </c>
      <c r="I34" s="613">
        <v>0</v>
      </c>
      <c r="J34" s="613">
        <v>0</v>
      </c>
      <c r="K34" s="614">
        <v>0</v>
      </c>
      <c r="L34" s="614">
        <v>0</v>
      </c>
      <c r="M34" s="614">
        <v>0</v>
      </c>
      <c r="N34" s="613">
        <v>0</v>
      </c>
      <c r="O34" s="617">
        <v>0</v>
      </c>
      <c r="P34" s="614">
        <v>0</v>
      </c>
      <c r="Q34" s="614">
        <v>0</v>
      </c>
      <c r="R34" s="613">
        <v>0</v>
      </c>
      <c r="S34" s="615">
        <v>0</v>
      </c>
      <c r="T34" s="615">
        <v>0</v>
      </c>
      <c r="U34" s="615">
        <v>0</v>
      </c>
      <c r="V34" s="615">
        <v>0</v>
      </c>
      <c r="W34" s="615">
        <v>0</v>
      </c>
      <c r="X34" s="615">
        <v>0</v>
      </c>
      <c r="Y34" s="615">
        <v>0</v>
      </c>
      <c r="Z34" s="615">
        <v>0</v>
      </c>
      <c r="AA34" s="615">
        <v>0</v>
      </c>
      <c r="AB34" s="616">
        <v>0</v>
      </c>
    </row>
    <row r="35" spans="1:28" s="74" customFormat="1">
      <c r="A35" s="443"/>
      <c r="B35" s="444" t="s">
        <v>445</v>
      </c>
      <c r="C35" s="445">
        <v>2068.125</v>
      </c>
      <c r="D35" s="446"/>
      <c r="E35" s="446"/>
      <c r="F35" s="446">
        <v>293.16666666666669</v>
      </c>
      <c r="G35" s="446"/>
      <c r="H35" s="446"/>
      <c r="I35" s="445">
        <v>2361.2916666666665</v>
      </c>
      <c r="J35" s="445"/>
      <c r="K35" s="446"/>
      <c r="L35" s="446">
        <v>0</v>
      </c>
      <c r="M35" s="446"/>
      <c r="N35" s="445">
        <v>0</v>
      </c>
      <c r="O35" s="618"/>
      <c r="P35" s="446"/>
      <c r="Q35" s="446"/>
      <c r="R35" s="445"/>
      <c r="S35" s="604"/>
      <c r="T35" s="604"/>
      <c r="U35" s="604"/>
      <c r="V35" s="604"/>
      <c r="W35" s="604"/>
      <c r="X35" s="604"/>
      <c r="Y35" s="604"/>
      <c r="Z35" s="604"/>
      <c r="AA35" s="604"/>
      <c r="AB35" s="606"/>
    </row>
    <row r="36" spans="1:28" s="74" customFormat="1">
      <c r="A36" s="443"/>
      <c r="B36" s="444" t="s">
        <v>447</v>
      </c>
      <c r="C36" s="445">
        <v>2180.5833333333335</v>
      </c>
      <c r="D36" s="446"/>
      <c r="E36" s="446"/>
      <c r="F36" s="446">
        <v>259.125</v>
      </c>
      <c r="G36" s="446"/>
      <c r="H36" s="446"/>
      <c r="I36" s="445">
        <v>2439.7083333333335</v>
      </c>
      <c r="J36" s="445"/>
      <c r="K36" s="446"/>
      <c r="L36" s="446">
        <v>0</v>
      </c>
      <c r="M36" s="446"/>
      <c r="N36" s="445">
        <v>0</v>
      </c>
      <c r="O36" s="618"/>
      <c r="P36" s="446"/>
      <c r="Q36" s="446"/>
      <c r="R36" s="445"/>
      <c r="S36" s="604"/>
      <c r="T36" s="604"/>
      <c r="U36" s="604"/>
      <c r="V36" s="604"/>
      <c r="W36" s="604"/>
      <c r="X36" s="604"/>
      <c r="Y36" s="604"/>
      <c r="Z36" s="604"/>
      <c r="AA36" s="604"/>
      <c r="AB36" s="606"/>
    </row>
    <row r="37" spans="1:28" s="74" customFormat="1">
      <c r="A37" s="443"/>
      <c r="B37" s="447" t="s">
        <v>449</v>
      </c>
      <c r="C37" s="613">
        <v>5.4376951747758709E-2</v>
      </c>
      <c r="D37" s="614">
        <v>0</v>
      </c>
      <c r="E37" s="614">
        <v>0</v>
      </c>
      <c r="F37" s="625">
        <v>-0.11611711199545202</v>
      </c>
      <c r="G37" s="614">
        <v>0</v>
      </c>
      <c r="H37" s="614">
        <v>0</v>
      </c>
      <c r="I37" s="613">
        <v>3.3209225176898366E-2</v>
      </c>
      <c r="J37" s="613">
        <v>0</v>
      </c>
      <c r="K37" s="614">
        <v>0</v>
      </c>
      <c r="L37" s="614">
        <v>0</v>
      </c>
      <c r="M37" s="614">
        <v>0</v>
      </c>
      <c r="N37" s="613">
        <v>0</v>
      </c>
      <c r="O37" s="617">
        <v>0</v>
      </c>
      <c r="P37" s="614">
        <v>0</v>
      </c>
      <c r="Q37" s="614">
        <v>0</v>
      </c>
      <c r="R37" s="613">
        <v>0</v>
      </c>
      <c r="S37" s="615">
        <v>0</v>
      </c>
      <c r="T37" s="615">
        <v>0</v>
      </c>
      <c r="U37" s="615">
        <v>0</v>
      </c>
      <c r="V37" s="615">
        <v>0</v>
      </c>
      <c r="W37" s="615">
        <v>0</v>
      </c>
      <c r="X37" s="615">
        <v>0</v>
      </c>
      <c r="Y37" s="615">
        <v>0</v>
      </c>
      <c r="Z37" s="615">
        <v>0</v>
      </c>
      <c r="AA37" s="615">
        <v>0</v>
      </c>
      <c r="AB37" s="616">
        <v>0</v>
      </c>
    </row>
    <row r="38" spans="1:28" s="74" customFormat="1">
      <c r="A38" s="443"/>
      <c r="B38" s="444" t="s">
        <v>49</v>
      </c>
      <c r="C38" s="445">
        <v>18905.058333333334</v>
      </c>
      <c r="D38" s="446"/>
      <c r="E38" s="446"/>
      <c r="F38" s="446">
        <v>3496.8666666666663</v>
      </c>
      <c r="G38" s="446"/>
      <c r="H38" s="446"/>
      <c r="I38" s="445">
        <v>22401.924999999999</v>
      </c>
      <c r="J38" s="445"/>
      <c r="K38" s="446"/>
      <c r="L38" s="446">
        <v>9642.5666666666657</v>
      </c>
      <c r="M38" s="446"/>
      <c r="N38" s="445">
        <v>9642.5666666666657</v>
      </c>
      <c r="O38" s="618"/>
      <c r="P38" s="446"/>
      <c r="Q38" s="446"/>
      <c r="R38" s="445"/>
      <c r="S38" s="604"/>
      <c r="T38" s="604"/>
      <c r="U38" s="604"/>
      <c r="V38" s="604"/>
      <c r="W38" s="604"/>
      <c r="X38" s="604"/>
      <c r="Y38" s="604"/>
      <c r="Z38" s="604"/>
      <c r="AA38" s="604"/>
      <c r="AB38" s="606"/>
    </row>
    <row r="39" spans="1:28" s="74" customFormat="1">
      <c r="A39" s="443"/>
      <c r="B39" s="444" t="s">
        <v>451</v>
      </c>
      <c r="C39" s="445">
        <v>19313.083333333332</v>
      </c>
      <c r="D39" s="446"/>
      <c r="E39" s="446"/>
      <c r="F39" s="446">
        <v>3373.3916666666669</v>
      </c>
      <c r="G39" s="446"/>
      <c r="H39" s="446"/>
      <c r="I39" s="445">
        <v>22686.474999999999</v>
      </c>
      <c r="J39" s="445"/>
      <c r="K39" s="446"/>
      <c r="L39" s="446">
        <v>10906.933333333334</v>
      </c>
      <c r="M39" s="446"/>
      <c r="N39" s="445">
        <v>10906.933333333334</v>
      </c>
      <c r="O39" s="618"/>
      <c r="P39" s="446"/>
      <c r="Q39" s="446"/>
      <c r="R39" s="445"/>
      <c r="S39" s="604"/>
      <c r="T39" s="604"/>
      <c r="U39" s="604"/>
      <c r="V39" s="604"/>
      <c r="W39" s="604"/>
      <c r="X39" s="604"/>
      <c r="Y39" s="604"/>
      <c r="Z39" s="604"/>
      <c r="AA39" s="604"/>
      <c r="AB39" s="606"/>
    </row>
    <row r="40" spans="1:28" s="74" customFormat="1">
      <c r="A40" s="443"/>
      <c r="B40" s="447" t="s">
        <v>453</v>
      </c>
      <c r="C40" s="613">
        <v>2.1582847976753899E-2</v>
      </c>
      <c r="D40" s="614">
        <v>0</v>
      </c>
      <c r="E40" s="614">
        <v>0</v>
      </c>
      <c r="F40" s="614">
        <v>-3.5310182449049474E-2</v>
      </c>
      <c r="G40" s="614">
        <v>0</v>
      </c>
      <c r="H40" s="614">
        <v>0</v>
      </c>
      <c r="I40" s="613">
        <v>1.2702033419003023E-2</v>
      </c>
      <c r="J40" s="613">
        <v>0</v>
      </c>
      <c r="K40" s="614">
        <v>0</v>
      </c>
      <c r="L40" s="614">
        <v>0.13112345606460266</v>
      </c>
      <c r="M40" s="614">
        <v>0</v>
      </c>
      <c r="N40" s="613">
        <v>0.13112345606460266</v>
      </c>
      <c r="O40" s="619">
        <v>0</v>
      </c>
      <c r="P40" s="614">
        <v>0</v>
      </c>
      <c r="Q40" s="614">
        <v>0</v>
      </c>
      <c r="R40" s="613">
        <v>0</v>
      </c>
      <c r="S40" s="615">
        <v>0</v>
      </c>
      <c r="T40" s="615">
        <v>0</v>
      </c>
      <c r="U40" s="615">
        <v>0</v>
      </c>
      <c r="V40" s="615">
        <v>0</v>
      </c>
      <c r="W40" s="615">
        <v>0</v>
      </c>
      <c r="X40" s="615">
        <v>0</v>
      </c>
      <c r="Y40" s="615">
        <v>0</v>
      </c>
      <c r="Z40" s="615">
        <v>0</v>
      </c>
      <c r="AA40" s="615">
        <v>0</v>
      </c>
      <c r="AB40" s="616">
        <v>0</v>
      </c>
    </row>
    <row r="41" spans="1:28" s="74" customFormat="1">
      <c r="A41" s="442" t="s">
        <v>647</v>
      </c>
      <c r="B41" s="440" t="s">
        <v>443</v>
      </c>
      <c r="C41" s="437">
        <v>165084.66666666666</v>
      </c>
      <c r="D41" s="441">
        <v>17318.866666666665</v>
      </c>
      <c r="E41" s="441">
        <v>29602.333333333332</v>
      </c>
      <c r="F41" s="441">
        <v>7493.666666666667</v>
      </c>
      <c r="G41" s="441"/>
      <c r="H41" s="441">
        <v>898.26666666666665</v>
      </c>
      <c r="I41" s="437">
        <v>220397.8</v>
      </c>
      <c r="J41" s="437">
        <v>79179.433333333334</v>
      </c>
      <c r="K41" s="441">
        <v>179530.69999999998</v>
      </c>
      <c r="L41" s="441">
        <v>18222.366666666669</v>
      </c>
      <c r="M41" s="441">
        <v>1549.8000000000002</v>
      </c>
      <c r="N41" s="437">
        <v>278482.3</v>
      </c>
      <c r="O41" s="437"/>
      <c r="P41" s="441"/>
      <c r="Q41" s="441"/>
      <c r="R41" s="437"/>
      <c r="S41" s="603"/>
      <c r="T41" s="603"/>
      <c r="U41" s="603"/>
      <c r="V41" s="603"/>
      <c r="W41" s="603"/>
      <c r="X41" s="603"/>
      <c r="Y41" s="603"/>
      <c r="Z41" s="603"/>
      <c r="AA41" s="603"/>
      <c r="AB41" s="605"/>
    </row>
    <row r="42" spans="1:28" s="74" customFormat="1">
      <c r="A42" s="443"/>
      <c r="B42" s="444" t="s">
        <v>441</v>
      </c>
      <c r="C42" s="445">
        <v>166580.96666666667</v>
      </c>
      <c r="D42" s="446">
        <v>17968.466666666667</v>
      </c>
      <c r="E42" s="446">
        <v>30172.233333333334</v>
      </c>
      <c r="F42" s="446">
        <v>8260.9333333333325</v>
      </c>
      <c r="G42" s="446"/>
      <c r="H42" s="446">
        <v>929.06666666666672</v>
      </c>
      <c r="I42" s="445">
        <v>223911.66666666669</v>
      </c>
      <c r="J42" s="445">
        <v>86789</v>
      </c>
      <c r="K42" s="446">
        <v>201907.86666666667</v>
      </c>
      <c r="L42" s="446">
        <v>20284.266666666666</v>
      </c>
      <c r="M42" s="446">
        <v>1684.9333333333334</v>
      </c>
      <c r="N42" s="445">
        <v>310666.06666666671</v>
      </c>
      <c r="O42" s="445"/>
      <c r="P42" s="446"/>
      <c r="Q42" s="446"/>
      <c r="R42" s="445"/>
      <c r="S42" s="604"/>
      <c r="T42" s="604"/>
      <c r="U42" s="604"/>
      <c r="V42" s="604"/>
      <c r="W42" s="604"/>
      <c r="X42" s="604"/>
      <c r="Y42" s="604"/>
      <c r="Z42" s="604"/>
      <c r="AA42" s="604"/>
      <c r="AB42" s="606"/>
    </row>
    <row r="43" spans="1:28" s="74" customFormat="1">
      <c r="A43" s="443"/>
      <c r="B43" s="447" t="s">
        <v>455</v>
      </c>
      <c r="C43" s="613">
        <v>9.0638339114879497E-3</v>
      </c>
      <c r="D43" s="614">
        <v>3.7508228021079261E-2</v>
      </c>
      <c r="E43" s="614">
        <v>1.9251860776740622E-2</v>
      </c>
      <c r="F43" s="614">
        <v>0.10238868377741188</v>
      </c>
      <c r="G43" s="614">
        <v>0</v>
      </c>
      <c r="H43" s="614">
        <v>3.4288258868932837E-2</v>
      </c>
      <c r="I43" s="613">
        <v>1.5943292839886325E-2</v>
      </c>
      <c r="J43" s="613">
        <v>9.6105343854022682E-2</v>
      </c>
      <c r="K43" s="614">
        <v>0.12464256345386437</v>
      </c>
      <c r="L43" s="614">
        <v>0.11315215184269868</v>
      </c>
      <c r="M43" s="614">
        <v>8.719404654363995E-2</v>
      </c>
      <c r="N43" s="613">
        <v>0.11556844606162303</v>
      </c>
      <c r="O43" s="617">
        <v>0</v>
      </c>
      <c r="P43" s="614">
        <v>0</v>
      </c>
      <c r="Q43" s="614">
        <v>0</v>
      </c>
      <c r="R43" s="613">
        <v>0</v>
      </c>
      <c r="S43" s="615">
        <v>0</v>
      </c>
      <c r="T43" s="615">
        <v>0</v>
      </c>
      <c r="U43" s="615">
        <v>0</v>
      </c>
      <c r="V43" s="615">
        <v>0</v>
      </c>
      <c r="W43" s="615">
        <v>0</v>
      </c>
      <c r="X43" s="615">
        <v>0</v>
      </c>
      <c r="Y43" s="615">
        <v>0</v>
      </c>
      <c r="Z43" s="615">
        <v>0</v>
      </c>
      <c r="AA43" s="615">
        <v>0</v>
      </c>
      <c r="AB43" s="616">
        <v>0</v>
      </c>
    </row>
    <row r="44" spans="1:28" s="74" customFormat="1">
      <c r="A44" s="443"/>
      <c r="B44" s="444" t="s">
        <v>439</v>
      </c>
      <c r="C44" s="445">
        <v>0</v>
      </c>
      <c r="D44" s="446">
        <v>0</v>
      </c>
      <c r="E44" s="446">
        <v>0</v>
      </c>
      <c r="F44" s="446">
        <v>0</v>
      </c>
      <c r="G44" s="446"/>
      <c r="H44" s="446">
        <v>0</v>
      </c>
      <c r="I44" s="445">
        <v>0</v>
      </c>
      <c r="J44" s="445">
        <v>14074.293333333333</v>
      </c>
      <c r="K44" s="446">
        <v>25831.948888888892</v>
      </c>
      <c r="L44" s="446">
        <v>3749.5211111111112</v>
      </c>
      <c r="M44" s="446">
        <v>229.1911111111111</v>
      </c>
      <c r="N44" s="445">
        <v>43884.954444444447</v>
      </c>
      <c r="O44" s="618"/>
      <c r="P44" s="446"/>
      <c r="Q44" s="446"/>
      <c r="R44" s="445"/>
      <c r="S44" s="604"/>
      <c r="T44" s="604"/>
      <c r="U44" s="604"/>
      <c r="V44" s="604"/>
      <c r="W44" s="604"/>
      <c r="X44" s="604"/>
      <c r="Y44" s="604"/>
      <c r="Z44" s="604"/>
      <c r="AA44" s="604"/>
      <c r="AB44" s="606"/>
    </row>
    <row r="45" spans="1:28" s="74" customFormat="1">
      <c r="A45" s="443"/>
      <c r="B45" s="444" t="s">
        <v>437</v>
      </c>
      <c r="C45" s="445">
        <v>0</v>
      </c>
      <c r="D45" s="446">
        <v>0</v>
      </c>
      <c r="E45" s="446">
        <v>0</v>
      </c>
      <c r="F45" s="446">
        <v>0</v>
      </c>
      <c r="G45" s="446"/>
      <c r="H45" s="446">
        <v>0</v>
      </c>
      <c r="I45" s="445">
        <v>0</v>
      </c>
      <c r="J45" s="445">
        <v>12945.681111111111</v>
      </c>
      <c r="K45" s="446">
        <v>25054.173333333332</v>
      </c>
      <c r="L45" s="446">
        <v>3648.6766666666663</v>
      </c>
      <c r="M45" s="446">
        <v>218.13888888888889</v>
      </c>
      <c r="N45" s="445">
        <v>41866.67</v>
      </c>
      <c r="O45" s="618"/>
      <c r="P45" s="446"/>
      <c r="Q45" s="446"/>
      <c r="R45" s="445"/>
      <c r="S45" s="604"/>
      <c r="T45" s="604"/>
      <c r="U45" s="604"/>
      <c r="V45" s="604"/>
      <c r="W45" s="604"/>
      <c r="X45" s="604"/>
      <c r="Y45" s="604"/>
      <c r="Z45" s="604"/>
      <c r="AA45" s="604"/>
      <c r="AB45" s="606"/>
    </row>
    <row r="46" spans="1:28" s="74" customFormat="1">
      <c r="A46" s="443"/>
      <c r="B46" s="447" t="s">
        <v>457</v>
      </c>
      <c r="C46" s="613">
        <v>0</v>
      </c>
      <c r="D46" s="614">
        <v>0</v>
      </c>
      <c r="E46" s="614">
        <v>0</v>
      </c>
      <c r="F46" s="614">
        <v>0</v>
      </c>
      <c r="G46" s="614">
        <v>0</v>
      </c>
      <c r="H46" s="614">
        <v>0</v>
      </c>
      <c r="I46" s="613">
        <v>0</v>
      </c>
      <c r="J46" s="613">
        <v>-8.0189619151196365E-2</v>
      </c>
      <c r="K46" s="614">
        <v>-3.010905444653092E-2</v>
      </c>
      <c r="L46" s="614">
        <v>-2.689528647954758E-2</v>
      </c>
      <c r="M46" s="614">
        <v>-4.8222735029475605E-2</v>
      </c>
      <c r="N46" s="613">
        <v>-4.5990350679284898E-2</v>
      </c>
      <c r="O46" s="617">
        <v>0</v>
      </c>
      <c r="P46" s="614">
        <v>0</v>
      </c>
      <c r="Q46" s="614">
        <v>0</v>
      </c>
      <c r="R46" s="613">
        <v>0</v>
      </c>
      <c r="S46" s="615">
        <v>0</v>
      </c>
      <c r="T46" s="615">
        <v>0</v>
      </c>
      <c r="U46" s="615">
        <v>0</v>
      </c>
      <c r="V46" s="615">
        <v>0</v>
      </c>
      <c r="W46" s="615">
        <v>0</v>
      </c>
      <c r="X46" s="615">
        <v>0</v>
      </c>
      <c r="Y46" s="615">
        <v>0</v>
      </c>
      <c r="Z46" s="615">
        <v>0</v>
      </c>
      <c r="AA46" s="615">
        <v>0</v>
      </c>
      <c r="AB46" s="616">
        <v>0</v>
      </c>
    </row>
    <row r="47" spans="1:28" s="74" customFormat="1">
      <c r="A47" s="443"/>
      <c r="B47" s="444" t="s">
        <v>445</v>
      </c>
      <c r="C47" s="445">
        <v>40754</v>
      </c>
      <c r="D47" s="446">
        <v>3177.3333333333335</v>
      </c>
      <c r="E47" s="446">
        <v>4385.7083333333339</v>
      </c>
      <c r="F47" s="446">
        <v>814.16666666666663</v>
      </c>
      <c r="G47" s="446"/>
      <c r="H47" s="446">
        <v>0</v>
      </c>
      <c r="I47" s="445">
        <v>49131.208333333336</v>
      </c>
      <c r="J47" s="445">
        <v>0</v>
      </c>
      <c r="K47" s="446">
        <v>0</v>
      </c>
      <c r="L47" s="446">
        <v>0</v>
      </c>
      <c r="M47" s="446">
        <v>0</v>
      </c>
      <c r="N47" s="445">
        <v>0</v>
      </c>
      <c r="O47" s="618"/>
      <c r="P47" s="446"/>
      <c r="Q47" s="446"/>
      <c r="R47" s="445"/>
      <c r="S47" s="604"/>
      <c r="T47" s="604"/>
      <c r="U47" s="604"/>
      <c r="V47" s="604"/>
      <c r="W47" s="604"/>
      <c r="X47" s="604"/>
      <c r="Y47" s="604"/>
      <c r="Z47" s="604"/>
      <c r="AA47" s="604"/>
      <c r="AB47" s="606"/>
    </row>
    <row r="48" spans="1:28" s="74" customFormat="1">
      <c r="A48" s="443"/>
      <c r="B48" s="444" t="s">
        <v>447</v>
      </c>
      <c r="C48" s="445">
        <v>42523.458333333336</v>
      </c>
      <c r="D48" s="446">
        <v>3274.875</v>
      </c>
      <c r="E48" s="446">
        <v>4660.708333333333</v>
      </c>
      <c r="F48" s="446">
        <v>897.83333333333337</v>
      </c>
      <c r="G48" s="446"/>
      <c r="H48" s="446">
        <v>0</v>
      </c>
      <c r="I48" s="445">
        <v>51356.875000000007</v>
      </c>
      <c r="J48" s="445">
        <v>0</v>
      </c>
      <c r="K48" s="446">
        <v>0</v>
      </c>
      <c r="L48" s="446">
        <v>0</v>
      </c>
      <c r="M48" s="446">
        <v>0</v>
      </c>
      <c r="N48" s="445">
        <v>0</v>
      </c>
      <c r="O48" s="618"/>
      <c r="P48" s="446"/>
      <c r="Q48" s="446"/>
      <c r="R48" s="445"/>
      <c r="S48" s="604"/>
      <c r="T48" s="604"/>
      <c r="U48" s="604"/>
      <c r="V48" s="604"/>
      <c r="W48" s="604"/>
      <c r="X48" s="604"/>
      <c r="Y48" s="604"/>
      <c r="Z48" s="604"/>
      <c r="AA48" s="604"/>
      <c r="AB48" s="606"/>
    </row>
    <row r="49" spans="1:28" s="74" customFormat="1">
      <c r="A49" s="443"/>
      <c r="B49" s="447" t="s">
        <v>449</v>
      </c>
      <c r="C49" s="613">
        <v>4.3418028496180393E-2</v>
      </c>
      <c r="D49" s="614">
        <v>3.0699223667645777E-2</v>
      </c>
      <c r="E49" s="614">
        <v>6.2703668164587417E-2</v>
      </c>
      <c r="F49" s="614">
        <v>0.10276356192425803</v>
      </c>
      <c r="G49" s="614">
        <v>0</v>
      </c>
      <c r="H49" s="614">
        <v>0</v>
      </c>
      <c r="I49" s="613">
        <v>4.5300466692504759E-2</v>
      </c>
      <c r="J49" s="613">
        <v>0</v>
      </c>
      <c r="K49" s="614">
        <v>0</v>
      </c>
      <c r="L49" s="614">
        <v>0</v>
      </c>
      <c r="M49" s="614">
        <v>0</v>
      </c>
      <c r="N49" s="613">
        <v>0</v>
      </c>
      <c r="O49" s="617">
        <v>0</v>
      </c>
      <c r="P49" s="614">
        <v>0</v>
      </c>
      <c r="Q49" s="614">
        <v>0</v>
      </c>
      <c r="R49" s="613">
        <v>0</v>
      </c>
      <c r="S49" s="615">
        <v>0</v>
      </c>
      <c r="T49" s="615">
        <v>0</v>
      </c>
      <c r="U49" s="615">
        <v>0</v>
      </c>
      <c r="V49" s="615">
        <v>0</v>
      </c>
      <c r="W49" s="615">
        <v>0</v>
      </c>
      <c r="X49" s="615">
        <v>0</v>
      </c>
      <c r="Y49" s="615">
        <v>0</v>
      </c>
      <c r="Z49" s="615">
        <v>0</v>
      </c>
      <c r="AA49" s="615">
        <v>0</v>
      </c>
      <c r="AB49" s="616">
        <v>0</v>
      </c>
    </row>
    <row r="50" spans="1:28" s="74" customFormat="1">
      <c r="A50" s="443"/>
      <c r="B50" s="444" t="s">
        <v>49</v>
      </c>
      <c r="C50" s="445">
        <v>205838.66666666666</v>
      </c>
      <c r="D50" s="446">
        <v>20496.199999999997</v>
      </c>
      <c r="E50" s="446">
        <v>33988.041666666664</v>
      </c>
      <c r="F50" s="446">
        <v>8307.8333333333339</v>
      </c>
      <c r="G50" s="446"/>
      <c r="H50" s="446">
        <v>898.26666666666665</v>
      </c>
      <c r="I50" s="445">
        <v>269529.0083333333</v>
      </c>
      <c r="J50" s="445">
        <v>93253.726666666655</v>
      </c>
      <c r="K50" s="446">
        <v>205362.64888888886</v>
      </c>
      <c r="L50" s="446">
        <v>21971.887777777778</v>
      </c>
      <c r="M50" s="446">
        <v>1778.991111111111</v>
      </c>
      <c r="N50" s="445">
        <v>322367.25444444444</v>
      </c>
      <c r="O50" s="618"/>
      <c r="P50" s="446"/>
      <c r="Q50" s="446"/>
      <c r="R50" s="445"/>
      <c r="S50" s="604"/>
      <c r="T50" s="604"/>
      <c r="U50" s="604"/>
      <c r="V50" s="604"/>
      <c r="W50" s="604"/>
      <c r="X50" s="604"/>
      <c r="Y50" s="604"/>
      <c r="Z50" s="604"/>
      <c r="AA50" s="604"/>
      <c r="AB50" s="606"/>
    </row>
    <row r="51" spans="1:28" s="74" customFormat="1">
      <c r="A51" s="443"/>
      <c r="B51" s="444" t="s">
        <v>451</v>
      </c>
      <c r="C51" s="445">
        <v>209104.42500000002</v>
      </c>
      <c r="D51" s="446">
        <v>21243.341666666667</v>
      </c>
      <c r="E51" s="446">
        <v>34832.941666666666</v>
      </c>
      <c r="F51" s="446">
        <v>9158.7666666666664</v>
      </c>
      <c r="G51" s="446"/>
      <c r="H51" s="446">
        <v>929.06666666666672</v>
      </c>
      <c r="I51" s="445">
        <v>275268.54166666669</v>
      </c>
      <c r="J51" s="445">
        <v>99734.681111111102</v>
      </c>
      <c r="K51" s="446">
        <v>226962.04000000004</v>
      </c>
      <c r="L51" s="446">
        <v>23932.943333333336</v>
      </c>
      <c r="M51" s="446">
        <v>1903.0722222222221</v>
      </c>
      <c r="N51" s="445">
        <v>352532.73666666669</v>
      </c>
      <c r="O51" s="618"/>
      <c r="P51" s="446"/>
      <c r="Q51" s="446"/>
      <c r="R51" s="445"/>
      <c r="S51" s="604"/>
      <c r="T51" s="604"/>
      <c r="U51" s="604"/>
      <c r="V51" s="604"/>
      <c r="W51" s="604"/>
      <c r="X51" s="604"/>
      <c r="Y51" s="604"/>
      <c r="Z51" s="604"/>
      <c r="AA51" s="604"/>
      <c r="AB51" s="606"/>
    </row>
    <row r="52" spans="1:28" s="74" customFormat="1">
      <c r="A52" s="443"/>
      <c r="B52" s="447" t="s">
        <v>453</v>
      </c>
      <c r="C52" s="613">
        <v>1.5865621295642673E-2</v>
      </c>
      <c r="D52" s="614">
        <v>3.6452692043728599E-2</v>
      </c>
      <c r="E52" s="614">
        <v>2.4858743209928046E-2</v>
      </c>
      <c r="F52" s="614">
        <v>0.10242542179067937</v>
      </c>
      <c r="G52" s="614">
        <v>0</v>
      </c>
      <c r="H52" s="614">
        <v>3.4288258868932837E-2</v>
      </c>
      <c r="I52" s="613">
        <v>2.1294677588970901E-2</v>
      </c>
      <c r="J52" s="613">
        <v>6.949807451245861E-2</v>
      </c>
      <c r="K52" s="614">
        <v>0.10517682367253403</v>
      </c>
      <c r="L52" s="614">
        <v>8.9252938818436753E-2</v>
      </c>
      <c r="M52" s="614">
        <v>6.9748021975002072E-2</v>
      </c>
      <c r="N52" s="613">
        <v>9.3574895732534746E-2</v>
      </c>
      <c r="O52" s="619">
        <v>0</v>
      </c>
      <c r="P52" s="614">
        <v>0</v>
      </c>
      <c r="Q52" s="614">
        <v>0</v>
      </c>
      <c r="R52" s="613">
        <v>0</v>
      </c>
      <c r="S52" s="615">
        <v>0</v>
      </c>
      <c r="T52" s="615">
        <v>0</v>
      </c>
      <c r="U52" s="615">
        <v>0</v>
      </c>
      <c r="V52" s="615">
        <v>0</v>
      </c>
      <c r="W52" s="615">
        <v>0</v>
      </c>
      <c r="X52" s="615">
        <v>0</v>
      </c>
      <c r="Y52" s="615">
        <v>0</v>
      </c>
      <c r="Z52" s="615">
        <v>0</v>
      </c>
      <c r="AA52" s="615">
        <v>0</v>
      </c>
      <c r="AB52" s="616">
        <v>0</v>
      </c>
    </row>
    <row r="53" spans="1:28" s="74" customFormat="1">
      <c r="A53" s="442" t="s">
        <v>503</v>
      </c>
      <c r="B53" s="440" t="s">
        <v>443</v>
      </c>
      <c r="C53" s="437">
        <v>43268.526666666672</v>
      </c>
      <c r="D53" s="441">
        <v>12807.266666666666</v>
      </c>
      <c r="E53" s="441">
        <v>32486.133333333331</v>
      </c>
      <c r="F53" s="441">
        <v>36658.33</v>
      </c>
      <c r="G53" s="441">
        <v>16893.333333333332</v>
      </c>
      <c r="H53" s="441">
        <v>9843.7333333333336</v>
      </c>
      <c r="I53" s="437">
        <v>151957.32333333333</v>
      </c>
      <c r="J53" s="437">
        <v>3503.7333333333331</v>
      </c>
      <c r="K53" s="441">
        <v>16582.099999999999</v>
      </c>
      <c r="L53" s="441">
        <v>26468.216666666671</v>
      </c>
      <c r="M53" s="441">
        <v>5904.4333333333334</v>
      </c>
      <c r="N53" s="437">
        <v>52458.483333333337</v>
      </c>
      <c r="O53" s="437">
        <v>70299.157777777786</v>
      </c>
      <c r="P53" s="441">
        <v>2122.7777777777778</v>
      </c>
      <c r="Q53" s="441"/>
      <c r="R53" s="437">
        <v>72421.935555555567</v>
      </c>
      <c r="S53" s="603"/>
      <c r="T53" s="603"/>
      <c r="U53" s="603"/>
      <c r="V53" s="603"/>
      <c r="W53" s="603"/>
      <c r="X53" s="603"/>
      <c r="Y53" s="603"/>
      <c r="Z53" s="603"/>
      <c r="AA53" s="603"/>
      <c r="AB53" s="605"/>
    </row>
    <row r="54" spans="1:28" s="74" customFormat="1">
      <c r="A54" s="443"/>
      <c r="B54" s="444" t="s">
        <v>441</v>
      </c>
      <c r="C54" s="445">
        <v>45192.566666666666</v>
      </c>
      <c r="D54" s="446">
        <v>13265.433333333332</v>
      </c>
      <c r="E54" s="446">
        <v>33745.933333333334</v>
      </c>
      <c r="F54" s="446">
        <v>38832.466666666667</v>
      </c>
      <c r="G54" s="446">
        <v>18265.599999999999</v>
      </c>
      <c r="H54" s="446">
        <v>10455.833333333332</v>
      </c>
      <c r="I54" s="445">
        <v>159757.83333333334</v>
      </c>
      <c r="J54" s="445">
        <v>4170.8</v>
      </c>
      <c r="K54" s="446">
        <v>18632.733333333334</v>
      </c>
      <c r="L54" s="446">
        <v>29556.2</v>
      </c>
      <c r="M54" s="446">
        <v>6902.8333333333339</v>
      </c>
      <c r="N54" s="445">
        <v>59262.566666666673</v>
      </c>
      <c r="O54" s="445">
        <v>84499.953333333338</v>
      </c>
      <c r="P54" s="446">
        <v>2673.8955555555553</v>
      </c>
      <c r="Q54" s="446"/>
      <c r="R54" s="445">
        <v>87173.848888888897</v>
      </c>
      <c r="S54" s="604"/>
      <c r="T54" s="604"/>
      <c r="U54" s="604"/>
      <c r="V54" s="604"/>
      <c r="W54" s="604"/>
      <c r="X54" s="604"/>
      <c r="Y54" s="604"/>
      <c r="Z54" s="604"/>
      <c r="AA54" s="604"/>
      <c r="AB54" s="606"/>
    </row>
    <row r="55" spans="1:28" s="74" customFormat="1">
      <c r="A55" s="443"/>
      <c r="B55" s="447" t="s">
        <v>455</v>
      </c>
      <c r="C55" s="613">
        <v>4.4467425822526122E-2</v>
      </c>
      <c r="D55" s="614">
        <v>3.5773961657184154E-2</v>
      </c>
      <c r="E55" s="614">
        <v>3.8779622895512435E-2</v>
      </c>
      <c r="F55" s="614">
        <v>5.9308120873664057E-2</v>
      </c>
      <c r="G55" s="614">
        <v>8.1231254932912389E-2</v>
      </c>
      <c r="H55" s="614">
        <v>6.2181692582759782E-2</v>
      </c>
      <c r="I55" s="613">
        <v>5.1333557533708482E-2</v>
      </c>
      <c r="J55" s="613">
        <v>0.19038739630108847</v>
      </c>
      <c r="K55" s="614">
        <v>0.12366547863861244</v>
      </c>
      <c r="L55" s="614">
        <v>0.11666760070096636</v>
      </c>
      <c r="M55" s="614">
        <v>0.16909328019059133</v>
      </c>
      <c r="N55" s="613">
        <v>0.12970415652504935</v>
      </c>
      <c r="O55" s="625">
        <v>0.20200520183251122</v>
      </c>
      <c r="P55" s="625">
        <v>0.25962104161214328</v>
      </c>
      <c r="Q55" s="614">
        <v>0</v>
      </c>
      <c r="R55" s="613">
        <v>0.20369399437021371</v>
      </c>
      <c r="S55" s="615">
        <v>0</v>
      </c>
      <c r="T55" s="615">
        <v>0</v>
      </c>
      <c r="U55" s="615">
        <v>0</v>
      </c>
      <c r="V55" s="615">
        <v>0</v>
      </c>
      <c r="W55" s="615">
        <v>0</v>
      </c>
      <c r="X55" s="615">
        <v>0</v>
      </c>
      <c r="Y55" s="615">
        <v>0</v>
      </c>
      <c r="Z55" s="615">
        <v>0</v>
      </c>
      <c r="AA55" s="615">
        <v>0</v>
      </c>
      <c r="AB55" s="616">
        <v>0</v>
      </c>
    </row>
    <row r="56" spans="1:28" s="74" customFormat="1">
      <c r="A56" s="443"/>
      <c r="B56" s="444" t="s">
        <v>439</v>
      </c>
      <c r="C56" s="445">
        <v>0</v>
      </c>
      <c r="D56" s="446">
        <v>0</v>
      </c>
      <c r="E56" s="446">
        <v>0</v>
      </c>
      <c r="F56" s="446">
        <v>0</v>
      </c>
      <c r="G56" s="446">
        <v>0</v>
      </c>
      <c r="H56" s="446">
        <v>0</v>
      </c>
      <c r="I56" s="445">
        <v>0</v>
      </c>
      <c r="J56" s="445">
        <v>0</v>
      </c>
      <c r="K56" s="446">
        <v>0</v>
      </c>
      <c r="L56" s="446">
        <v>0</v>
      </c>
      <c r="M56" s="446">
        <v>0</v>
      </c>
      <c r="N56" s="445">
        <v>0</v>
      </c>
      <c r="O56" s="618">
        <v>0</v>
      </c>
      <c r="P56" s="446">
        <v>0</v>
      </c>
      <c r="Q56" s="446"/>
      <c r="R56" s="445">
        <v>0</v>
      </c>
      <c r="S56" s="604"/>
      <c r="T56" s="604"/>
      <c r="U56" s="604"/>
      <c r="V56" s="604"/>
      <c r="W56" s="604"/>
      <c r="X56" s="604"/>
      <c r="Y56" s="604"/>
      <c r="Z56" s="604"/>
      <c r="AA56" s="604"/>
      <c r="AB56" s="606"/>
    </row>
    <row r="57" spans="1:28" s="74" customFormat="1">
      <c r="A57" s="443"/>
      <c r="B57" s="444" t="s">
        <v>437</v>
      </c>
      <c r="C57" s="445">
        <v>0</v>
      </c>
      <c r="D57" s="446">
        <v>0</v>
      </c>
      <c r="E57" s="446">
        <v>0</v>
      </c>
      <c r="F57" s="446">
        <v>0</v>
      </c>
      <c r="G57" s="446">
        <v>0</v>
      </c>
      <c r="H57" s="446">
        <v>0</v>
      </c>
      <c r="I57" s="445">
        <v>0</v>
      </c>
      <c r="J57" s="445">
        <v>0</v>
      </c>
      <c r="K57" s="446">
        <v>0</v>
      </c>
      <c r="L57" s="446">
        <v>0</v>
      </c>
      <c r="M57" s="446">
        <v>0</v>
      </c>
      <c r="N57" s="445">
        <v>0</v>
      </c>
      <c r="O57" s="618">
        <v>0</v>
      </c>
      <c r="P57" s="446">
        <v>0</v>
      </c>
      <c r="Q57" s="446"/>
      <c r="R57" s="445">
        <v>0</v>
      </c>
      <c r="S57" s="604"/>
      <c r="T57" s="604"/>
      <c r="U57" s="604"/>
      <c r="V57" s="604"/>
      <c r="W57" s="604"/>
      <c r="X57" s="604"/>
      <c r="Y57" s="604"/>
      <c r="Z57" s="604"/>
      <c r="AA57" s="604"/>
      <c r="AB57" s="606"/>
    </row>
    <row r="58" spans="1:28" s="74" customFormat="1">
      <c r="A58" s="443"/>
      <c r="B58" s="447" t="s">
        <v>457</v>
      </c>
      <c r="C58" s="613">
        <v>0</v>
      </c>
      <c r="D58" s="614">
        <v>0</v>
      </c>
      <c r="E58" s="614">
        <v>0</v>
      </c>
      <c r="F58" s="614">
        <v>0</v>
      </c>
      <c r="G58" s="614">
        <v>0</v>
      </c>
      <c r="H58" s="614">
        <v>0</v>
      </c>
      <c r="I58" s="613">
        <v>0</v>
      </c>
      <c r="J58" s="613">
        <v>0</v>
      </c>
      <c r="K58" s="614">
        <v>0</v>
      </c>
      <c r="L58" s="614">
        <v>0</v>
      </c>
      <c r="M58" s="614">
        <v>0</v>
      </c>
      <c r="N58" s="613">
        <v>0</v>
      </c>
      <c r="O58" s="617">
        <v>0</v>
      </c>
      <c r="P58" s="614">
        <v>0</v>
      </c>
      <c r="Q58" s="614">
        <v>0</v>
      </c>
      <c r="R58" s="613">
        <v>0</v>
      </c>
      <c r="S58" s="615">
        <v>0</v>
      </c>
      <c r="T58" s="615">
        <v>0</v>
      </c>
      <c r="U58" s="615">
        <v>0</v>
      </c>
      <c r="V58" s="615">
        <v>0</v>
      </c>
      <c r="W58" s="615">
        <v>0</v>
      </c>
      <c r="X58" s="615">
        <v>0</v>
      </c>
      <c r="Y58" s="615">
        <v>0</v>
      </c>
      <c r="Z58" s="615">
        <v>0</v>
      </c>
      <c r="AA58" s="615">
        <v>0</v>
      </c>
      <c r="AB58" s="616">
        <v>0</v>
      </c>
    </row>
    <row r="59" spans="1:28" s="74" customFormat="1">
      <c r="A59" s="443"/>
      <c r="B59" s="444" t="s">
        <v>445</v>
      </c>
      <c r="C59" s="445">
        <v>17813.954166666666</v>
      </c>
      <c r="D59" s="446">
        <v>9080.2083333333339</v>
      </c>
      <c r="E59" s="446">
        <v>4084.041666666667</v>
      </c>
      <c r="F59" s="446">
        <v>4240.2916666666661</v>
      </c>
      <c r="G59" s="446">
        <v>1647.9166666666667</v>
      </c>
      <c r="H59" s="446">
        <v>104.16666666666667</v>
      </c>
      <c r="I59" s="445">
        <v>36970.579166666663</v>
      </c>
      <c r="J59" s="445">
        <v>0</v>
      </c>
      <c r="K59" s="446">
        <v>0</v>
      </c>
      <c r="L59" s="446">
        <v>0</v>
      </c>
      <c r="M59" s="446">
        <v>0</v>
      </c>
      <c r="N59" s="445">
        <v>0</v>
      </c>
      <c r="O59" s="618">
        <v>0</v>
      </c>
      <c r="P59" s="446">
        <v>0</v>
      </c>
      <c r="Q59" s="446"/>
      <c r="R59" s="445">
        <v>0</v>
      </c>
      <c r="S59" s="604"/>
      <c r="T59" s="604"/>
      <c r="U59" s="604"/>
      <c r="V59" s="604"/>
      <c r="W59" s="604"/>
      <c r="X59" s="604"/>
      <c r="Y59" s="604"/>
      <c r="Z59" s="604"/>
      <c r="AA59" s="604"/>
      <c r="AB59" s="606"/>
    </row>
    <row r="60" spans="1:28" s="74" customFormat="1">
      <c r="A60" s="443"/>
      <c r="B60" s="444" t="s">
        <v>447</v>
      </c>
      <c r="C60" s="445">
        <v>18413.333333333332</v>
      </c>
      <c r="D60" s="446">
        <v>9385.0833333333339</v>
      </c>
      <c r="E60" s="446">
        <v>4469.7916666666661</v>
      </c>
      <c r="F60" s="446">
        <v>4331.625</v>
      </c>
      <c r="G60" s="446">
        <v>1723.4999999999998</v>
      </c>
      <c r="H60" s="446">
        <v>124.875</v>
      </c>
      <c r="I60" s="445">
        <v>38448.208333333328</v>
      </c>
      <c r="J60" s="445">
        <v>0</v>
      </c>
      <c r="K60" s="446">
        <v>0</v>
      </c>
      <c r="L60" s="446">
        <v>0</v>
      </c>
      <c r="M60" s="446">
        <v>0</v>
      </c>
      <c r="N60" s="445">
        <v>0</v>
      </c>
      <c r="O60" s="618">
        <v>0</v>
      </c>
      <c r="P60" s="446">
        <v>0</v>
      </c>
      <c r="Q60" s="446"/>
      <c r="R60" s="445">
        <v>0</v>
      </c>
      <c r="S60" s="604"/>
      <c r="T60" s="604"/>
      <c r="U60" s="604"/>
      <c r="V60" s="604"/>
      <c r="W60" s="604"/>
      <c r="X60" s="604"/>
      <c r="Y60" s="604"/>
      <c r="Z60" s="604"/>
      <c r="AA60" s="604"/>
      <c r="AB60" s="606"/>
    </row>
    <row r="61" spans="1:28" s="74" customFormat="1">
      <c r="A61" s="443"/>
      <c r="B61" s="447" t="s">
        <v>449</v>
      </c>
      <c r="C61" s="613">
        <v>3.3646609902489778E-2</v>
      </c>
      <c r="D61" s="614">
        <v>3.3575771481014108E-2</v>
      </c>
      <c r="E61" s="614">
        <v>9.4453003050491008E-2</v>
      </c>
      <c r="F61" s="614">
        <v>2.1539398822801252E-2</v>
      </c>
      <c r="G61" s="614">
        <v>4.5865992414664797E-2</v>
      </c>
      <c r="H61" s="614">
        <v>0.19879999999999995</v>
      </c>
      <c r="I61" s="613">
        <v>3.996770404935724E-2</v>
      </c>
      <c r="J61" s="613">
        <v>0</v>
      </c>
      <c r="K61" s="614">
        <v>0</v>
      </c>
      <c r="L61" s="614">
        <v>0</v>
      </c>
      <c r="M61" s="614">
        <v>0</v>
      </c>
      <c r="N61" s="613">
        <v>0</v>
      </c>
      <c r="O61" s="617">
        <v>0</v>
      </c>
      <c r="P61" s="614">
        <v>0</v>
      </c>
      <c r="Q61" s="614">
        <v>0</v>
      </c>
      <c r="R61" s="613">
        <v>0</v>
      </c>
      <c r="S61" s="615">
        <v>0</v>
      </c>
      <c r="T61" s="615">
        <v>0</v>
      </c>
      <c r="U61" s="615">
        <v>0</v>
      </c>
      <c r="V61" s="615">
        <v>0</v>
      </c>
      <c r="W61" s="615">
        <v>0</v>
      </c>
      <c r="X61" s="615">
        <v>0</v>
      </c>
      <c r="Y61" s="615">
        <v>0</v>
      </c>
      <c r="Z61" s="615">
        <v>0</v>
      </c>
      <c r="AA61" s="615">
        <v>0</v>
      </c>
      <c r="AB61" s="616">
        <v>0</v>
      </c>
    </row>
    <row r="62" spans="1:28" s="74" customFormat="1">
      <c r="A62" s="443"/>
      <c r="B62" s="444" t="s">
        <v>49</v>
      </c>
      <c r="C62" s="445">
        <v>61082.480833333335</v>
      </c>
      <c r="D62" s="446">
        <v>21887.474999999999</v>
      </c>
      <c r="E62" s="446">
        <v>36570.175000000003</v>
      </c>
      <c r="F62" s="446">
        <v>40898.621666666666</v>
      </c>
      <c r="G62" s="446">
        <v>18541.25</v>
      </c>
      <c r="H62" s="446">
        <v>9947.9000000000015</v>
      </c>
      <c r="I62" s="445">
        <v>188927.9025</v>
      </c>
      <c r="J62" s="445">
        <v>3503.7333333333331</v>
      </c>
      <c r="K62" s="446">
        <v>16582.099999999999</v>
      </c>
      <c r="L62" s="446">
        <v>26468.216666666671</v>
      </c>
      <c r="M62" s="446">
        <v>5904.4333333333334</v>
      </c>
      <c r="N62" s="445">
        <v>52458.483333333337</v>
      </c>
      <c r="O62" s="618">
        <v>70299.157777777786</v>
      </c>
      <c r="P62" s="446">
        <v>2122.7777777777778</v>
      </c>
      <c r="Q62" s="446"/>
      <c r="R62" s="445">
        <v>72421.935555555567</v>
      </c>
      <c r="S62" s="604"/>
      <c r="T62" s="604"/>
      <c r="U62" s="604"/>
      <c r="V62" s="604"/>
      <c r="W62" s="604"/>
      <c r="X62" s="604"/>
      <c r="Y62" s="604"/>
      <c r="Z62" s="604"/>
      <c r="AA62" s="604"/>
      <c r="AB62" s="606"/>
    </row>
    <row r="63" spans="1:28" s="74" customFormat="1">
      <c r="A63" s="443"/>
      <c r="B63" s="444" t="s">
        <v>451</v>
      </c>
      <c r="C63" s="445">
        <v>63605.9</v>
      </c>
      <c r="D63" s="446">
        <v>22650.516666666666</v>
      </c>
      <c r="E63" s="446">
        <v>38215.724999999999</v>
      </c>
      <c r="F63" s="446">
        <v>43164.09166666666</v>
      </c>
      <c r="G63" s="446">
        <v>19989.100000000002</v>
      </c>
      <c r="H63" s="446">
        <v>10580.708333333332</v>
      </c>
      <c r="I63" s="445">
        <v>198206.04166666669</v>
      </c>
      <c r="J63" s="445">
        <v>4170.8</v>
      </c>
      <c r="K63" s="446">
        <v>18632.733333333334</v>
      </c>
      <c r="L63" s="446">
        <v>29556.2</v>
      </c>
      <c r="M63" s="446">
        <v>6902.8333333333339</v>
      </c>
      <c r="N63" s="445">
        <v>59262.566666666673</v>
      </c>
      <c r="O63" s="618">
        <v>84499.953333333338</v>
      </c>
      <c r="P63" s="446">
        <v>2673.8955555555553</v>
      </c>
      <c r="Q63" s="446"/>
      <c r="R63" s="445">
        <v>87173.848888888897</v>
      </c>
      <c r="S63" s="604"/>
      <c r="T63" s="604"/>
      <c r="U63" s="604"/>
      <c r="V63" s="604"/>
      <c r="W63" s="604"/>
      <c r="X63" s="604"/>
      <c r="Y63" s="604"/>
      <c r="Z63" s="604"/>
      <c r="AA63" s="604"/>
      <c r="AB63" s="606"/>
    </row>
    <row r="64" spans="1:28" s="74" customFormat="1">
      <c r="A64" s="443"/>
      <c r="B64" s="447" t="s">
        <v>453</v>
      </c>
      <c r="C64" s="613">
        <v>4.1311667965024938E-2</v>
      </c>
      <c r="D64" s="614">
        <v>3.4862023447961354E-2</v>
      </c>
      <c r="E64" s="614">
        <v>4.4997050191857041E-2</v>
      </c>
      <c r="F64" s="614">
        <v>5.5392331273755493E-2</v>
      </c>
      <c r="G64" s="614">
        <v>7.8088046922402871E-2</v>
      </c>
      <c r="H64" s="614">
        <v>6.3612253172361063E-2</v>
      </c>
      <c r="I64" s="613">
        <v>4.9109417105113212E-2</v>
      </c>
      <c r="J64" s="613">
        <v>0.19038739630108847</v>
      </c>
      <c r="K64" s="614">
        <v>0.12366547863861244</v>
      </c>
      <c r="L64" s="614">
        <v>0.11666760070096636</v>
      </c>
      <c r="M64" s="614">
        <v>0.16909328019059133</v>
      </c>
      <c r="N64" s="613">
        <v>0.12970415652504935</v>
      </c>
      <c r="O64" s="619">
        <v>0.20200520183251122</v>
      </c>
      <c r="P64" s="614">
        <v>0.25962104161214328</v>
      </c>
      <c r="Q64" s="614">
        <v>0</v>
      </c>
      <c r="R64" s="613">
        <v>0.20369399437021371</v>
      </c>
      <c r="S64" s="615">
        <v>0</v>
      </c>
      <c r="T64" s="615">
        <v>0</v>
      </c>
      <c r="U64" s="615">
        <v>0</v>
      </c>
      <c r="V64" s="615">
        <v>0</v>
      </c>
      <c r="W64" s="615">
        <v>0</v>
      </c>
      <c r="X64" s="615">
        <v>0</v>
      </c>
      <c r="Y64" s="615">
        <v>0</v>
      </c>
      <c r="Z64" s="615">
        <v>0</v>
      </c>
      <c r="AA64" s="615">
        <v>0</v>
      </c>
      <c r="AB64" s="616">
        <v>0</v>
      </c>
    </row>
    <row r="65" spans="1:28" s="74" customFormat="1">
      <c r="A65" s="442" t="s">
        <v>148</v>
      </c>
      <c r="B65" s="440" t="s">
        <v>443</v>
      </c>
      <c r="C65" s="437">
        <v>30085.466666666667</v>
      </c>
      <c r="D65" s="441"/>
      <c r="E65" s="441">
        <v>34208.866666666669</v>
      </c>
      <c r="F65" s="441">
        <v>17048.400000000001</v>
      </c>
      <c r="G65" s="441">
        <v>2077.6</v>
      </c>
      <c r="H65" s="441"/>
      <c r="I65" s="437">
        <v>83420.333333333343</v>
      </c>
      <c r="J65" s="437"/>
      <c r="K65" s="441">
        <v>15828.433333333334</v>
      </c>
      <c r="L65" s="441">
        <v>24056.033333333333</v>
      </c>
      <c r="M65" s="441">
        <v>4960</v>
      </c>
      <c r="N65" s="437">
        <v>44844.466666666667</v>
      </c>
      <c r="O65" s="437">
        <v>2928.8666666666668</v>
      </c>
      <c r="P65" s="441"/>
      <c r="Q65" s="441"/>
      <c r="R65" s="437">
        <v>2928.8666666666668</v>
      </c>
      <c r="S65" s="603"/>
      <c r="T65" s="603"/>
      <c r="U65" s="603"/>
      <c r="V65" s="603"/>
      <c r="W65" s="603"/>
      <c r="X65" s="603"/>
      <c r="Y65" s="603"/>
      <c r="Z65" s="603"/>
      <c r="AA65" s="603"/>
      <c r="AB65" s="605"/>
    </row>
    <row r="66" spans="1:28" s="74" customFormat="1">
      <c r="A66" s="443"/>
      <c r="B66" s="444" t="s">
        <v>441</v>
      </c>
      <c r="C66" s="445">
        <v>30371.766666666666</v>
      </c>
      <c r="D66" s="446"/>
      <c r="E66" s="446">
        <v>34919.1</v>
      </c>
      <c r="F66" s="446">
        <v>17192.533333333333</v>
      </c>
      <c r="G66" s="446">
        <v>2106</v>
      </c>
      <c r="H66" s="446"/>
      <c r="I66" s="445">
        <v>84589.4</v>
      </c>
      <c r="J66" s="445"/>
      <c r="K66" s="446">
        <v>16963.5</v>
      </c>
      <c r="L66" s="446">
        <v>27180.26666666667</v>
      </c>
      <c r="M66" s="446">
        <v>5589.6666666666661</v>
      </c>
      <c r="N66" s="445">
        <v>49733.433333333334</v>
      </c>
      <c r="O66" s="445">
        <v>3683.1666666666665</v>
      </c>
      <c r="P66" s="446"/>
      <c r="Q66" s="446"/>
      <c r="R66" s="445">
        <v>3683.1666666666665</v>
      </c>
      <c r="S66" s="604"/>
      <c r="T66" s="604"/>
      <c r="U66" s="604"/>
      <c r="V66" s="604"/>
      <c r="W66" s="604"/>
      <c r="X66" s="604"/>
      <c r="Y66" s="604"/>
      <c r="Z66" s="604"/>
      <c r="AA66" s="604"/>
      <c r="AB66" s="606"/>
    </row>
    <row r="67" spans="1:28" s="74" customFormat="1">
      <c r="A67" s="443"/>
      <c r="B67" s="447" t="s">
        <v>455</v>
      </c>
      <c r="C67" s="613">
        <v>9.5162226722980067E-3</v>
      </c>
      <c r="D67" s="614">
        <v>0</v>
      </c>
      <c r="E67" s="614">
        <v>2.0761673874024764E-2</v>
      </c>
      <c r="F67" s="614">
        <v>8.4543613085879838E-3</v>
      </c>
      <c r="G67" s="614">
        <v>1.3669618790912635E-2</v>
      </c>
      <c r="H67" s="614">
        <v>0</v>
      </c>
      <c r="I67" s="613">
        <v>1.4014169207347341E-2</v>
      </c>
      <c r="J67" s="613">
        <v>0</v>
      </c>
      <c r="K67" s="614">
        <v>7.1710613600419429E-2</v>
      </c>
      <c r="L67" s="614">
        <v>0.12987317111022753</v>
      </c>
      <c r="M67" s="614">
        <v>0.12694892473118266</v>
      </c>
      <c r="N67" s="613">
        <v>0.10902051089171894</v>
      </c>
      <c r="O67" s="625">
        <v>0.25753989028748309</v>
      </c>
      <c r="P67" s="614">
        <v>0</v>
      </c>
      <c r="Q67" s="614">
        <v>0</v>
      </c>
      <c r="R67" s="613">
        <v>0.25753989028748309</v>
      </c>
      <c r="S67" s="615">
        <v>0</v>
      </c>
      <c r="T67" s="615">
        <v>0</v>
      </c>
      <c r="U67" s="615">
        <v>0</v>
      </c>
      <c r="V67" s="615">
        <v>0</v>
      </c>
      <c r="W67" s="615">
        <v>0</v>
      </c>
      <c r="X67" s="615">
        <v>0</v>
      </c>
      <c r="Y67" s="615">
        <v>0</v>
      </c>
      <c r="Z67" s="615">
        <v>0</v>
      </c>
      <c r="AA67" s="615">
        <v>0</v>
      </c>
      <c r="AB67" s="616">
        <v>0</v>
      </c>
    </row>
    <row r="68" spans="1:28" s="74" customFormat="1">
      <c r="A68" s="443"/>
      <c r="B68" s="444" t="s">
        <v>439</v>
      </c>
      <c r="C68" s="445">
        <v>0</v>
      </c>
      <c r="D68" s="446"/>
      <c r="E68" s="446">
        <v>0</v>
      </c>
      <c r="F68" s="446">
        <v>0</v>
      </c>
      <c r="G68" s="446">
        <v>0</v>
      </c>
      <c r="H68" s="446"/>
      <c r="I68" s="445">
        <v>0</v>
      </c>
      <c r="J68" s="445"/>
      <c r="K68" s="446">
        <v>0</v>
      </c>
      <c r="L68" s="446">
        <v>0</v>
      </c>
      <c r="M68" s="446">
        <v>0</v>
      </c>
      <c r="N68" s="445">
        <v>0</v>
      </c>
      <c r="O68" s="618">
        <v>0</v>
      </c>
      <c r="P68" s="446"/>
      <c r="Q68" s="446"/>
      <c r="R68" s="445">
        <v>0</v>
      </c>
      <c r="S68" s="604"/>
      <c r="T68" s="604"/>
      <c r="U68" s="604"/>
      <c r="V68" s="604"/>
      <c r="W68" s="604"/>
      <c r="X68" s="604"/>
      <c r="Y68" s="604"/>
      <c r="Z68" s="604"/>
      <c r="AA68" s="604"/>
      <c r="AB68" s="606"/>
    </row>
    <row r="69" spans="1:28" s="74" customFormat="1">
      <c r="A69" s="443"/>
      <c r="B69" s="444" t="s">
        <v>437</v>
      </c>
      <c r="C69" s="445">
        <v>0</v>
      </c>
      <c r="D69" s="446"/>
      <c r="E69" s="446">
        <v>0</v>
      </c>
      <c r="F69" s="446">
        <v>0</v>
      </c>
      <c r="G69" s="446">
        <v>0</v>
      </c>
      <c r="H69" s="446"/>
      <c r="I69" s="445">
        <v>0</v>
      </c>
      <c r="J69" s="445"/>
      <c r="K69" s="446">
        <v>0</v>
      </c>
      <c r="L69" s="446">
        <v>0</v>
      </c>
      <c r="M69" s="446">
        <v>0</v>
      </c>
      <c r="N69" s="445">
        <v>0</v>
      </c>
      <c r="O69" s="618">
        <v>0</v>
      </c>
      <c r="P69" s="446"/>
      <c r="Q69" s="446"/>
      <c r="R69" s="445">
        <v>0</v>
      </c>
      <c r="S69" s="604"/>
      <c r="T69" s="604"/>
      <c r="U69" s="604"/>
      <c r="V69" s="604"/>
      <c r="W69" s="604"/>
      <c r="X69" s="604"/>
      <c r="Y69" s="604"/>
      <c r="Z69" s="604"/>
      <c r="AA69" s="604"/>
      <c r="AB69" s="606"/>
    </row>
    <row r="70" spans="1:28" s="74" customFormat="1">
      <c r="A70" s="443"/>
      <c r="B70" s="447" t="s">
        <v>457</v>
      </c>
      <c r="C70" s="613">
        <v>0</v>
      </c>
      <c r="D70" s="614">
        <v>0</v>
      </c>
      <c r="E70" s="614">
        <v>0</v>
      </c>
      <c r="F70" s="614">
        <v>0</v>
      </c>
      <c r="G70" s="614">
        <v>0</v>
      </c>
      <c r="H70" s="614">
        <v>0</v>
      </c>
      <c r="I70" s="613">
        <v>0</v>
      </c>
      <c r="J70" s="613">
        <v>0</v>
      </c>
      <c r="K70" s="614">
        <v>0</v>
      </c>
      <c r="L70" s="614">
        <v>0</v>
      </c>
      <c r="M70" s="614">
        <v>0</v>
      </c>
      <c r="N70" s="613">
        <v>0</v>
      </c>
      <c r="O70" s="617">
        <v>0</v>
      </c>
      <c r="P70" s="614">
        <v>0</v>
      </c>
      <c r="Q70" s="614">
        <v>0</v>
      </c>
      <c r="R70" s="613">
        <v>0</v>
      </c>
      <c r="S70" s="615">
        <v>0</v>
      </c>
      <c r="T70" s="615">
        <v>0</v>
      </c>
      <c r="U70" s="615">
        <v>0</v>
      </c>
      <c r="V70" s="615">
        <v>0</v>
      </c>
      <c r="W70" s="615">
        <v>0</v>
      </c>
      <c r="X70" s="615">
        <v>0</v>
      </c>
      <c r="Y70" s="615">
        <v>0</v>
      </c>
      <c r="Z70" s="615">
        <v>0</v>
      </c>
      <c r="AA70" s="615">
        <v>0</v>
      </c>
      <c r="AB70" s="616">
        <v>0</v>
      </c>
    </row>
    <row r="71" spans="1:28" s="74" customFormat="1">
      <c r="A71" s="443"/>
      <c r="B71" s="444" t="s">
        <v>445</v>
      </c>
      <c r="C71" s="445">
        <v>6697.75</v>
      </c>
      <c r="D71" s="446"/>
      <c r="E71" s="446">
        <v>4786.875</v>
      </c>
      <c r="F71" s="446">
        <v>2506.875</v>
      </c>
      <c r="G71" s="446">
        <v>111.08333333333333</v>
      </c>
      <c r="H71" s="446"/>
      <c r="I71" s="445">
        <v>14102.583333333334</v>
      </c>
      <c r="J71" s="445"/>
      <c r="K71" s="446">
        <v>0</v>
      </c>
      <c r="L71" s="446">
        <v>0</v>
      </c>
      <c r="M71" s="446">
        <v>0</v>
      </c>
      <c r="N71" s="445">
        <v>0</v>
      </c>
      <c r="O71" s="618">
        <v>0</v>
      </c>
      <c r="P71" s="446"/>
      <c r="Q71" s="446"/>
      <c r="R71" s="445">
        <v>0</v>
      </c>
      <c r="S71" s="604"/>
      <c r="T71" s="604"/>
      <c r="U71" s="604"/>
      <c r="V71" s="604"/>
      <c r="W71" s="604"/>
      <c r="X71" s="604"/>
      <c r="Y71" s="604"/>
      <c r="Z71" s="604"/>
      <c r="AA71" s="604"/>
      <c r="AB71" s="606"/>
    </row>
    <row r="72" spans="1:28" s="74" customFormat="1">
      <c r="A72" s="443"/>
      <c r="B72" s="444" t="s">
        <v>447</v>
      </c>
      <c r="C72" s="445">
        <v>6718.2083333333339</v>
      </c>
      <c r="D72" s="446"/>
      <c r="E72" s="446">
        <v>4728.625</v>
      </c>
      <c r="F72" s="446">
        <v>2560.5416666666665</v>
      </c>
      <c r="G72" s="446">
        <v>114.25</v>
      </c>
      <c r="H72" s="446"/>
      <c r="I72" s="445">
        <v>14121.625</v>
      </c>
      <c r="J72" s="445"/>
      <c r="K72" s="446">
        <v>0</v>
      </c>
      <c r="L72" s="446">
        <v>0</v>
      </c>
      <c r="M72" s="446">
        <v>0</v>
      </c>
      <c r="N72" s="445">
        <v>0</v>
      </c>
      <c r="O72" s="618">
        <v>0</v>
      </c>
      <c r="P72" s="446"/>
      <c r="Q72" s="446"/>
      <c r="R72" s="445">
        <v>0</v>
      </c>
      <c r="S72" s="604"/>
      <c r="T72" s="604"/>
      <c r="U72" s="604"/>
      <c r="V72" s="604"/>
      <c r="W72" s="604"/>
      <c r="X72" s="604"/>
      <c r="Y72" s="604"/>
      <c r="Z72" s="604"/>
      <c r="AA72" s="604"/>
      <c r="AB72" s="606"/>
    </row>
    <row r="73" spans="1:28" s="74" customFormat="1">
      <c r="A73" s="443"/>
      <c r="B73" s="447" t="s">
        <v>449</v>
      </c>
      <c r="C73" s="613">
        <v>3.0545083547958551E-3</v>
      </c>
      <c r="D73" s="614">
        <v>0</v>
      </c>
      <c r="E73" s="614">
        <v>-1.2168690429559995E-2</v>
      </c>
      <c r="F73" s="614">
        <v>2.1407795229784699E-2</v>
      </c>
      <c r="G73" s="614">
        <v>2.8507126781695466E-2</v>
      </c>
      <c r="H73" s="614">
        <v>0</v>
      </c>
      <c r="I73" s="613">
        <v>1.3502254315108612E-3</v>
      </c>
      <c r="J73" s="613">
        <v>0</v>
      </c>
      <c r="K73" s="614">
        <v>0</v>
      </c>
      <c r="L73" s="614">
        <v>0</v>
      </c>
      <c r="M73" s="614">
        <v>0</v>
      </c>
      <c r="N73" s="613">
        <v>0</v>
      </c>
      <c r="O73" s="617">
        <v>0</v>
      </c>
      <c r="P73" s="614">
        <v>0</v>
      </c>
      <c r="Q73" s="614">
        <v>0</v>
      </c>
      <c r="R73" s="613">
        <v>0</v>
      </c>
      <c r="S73" s="615">
        <v>0</v>
      </c>
      <c r="T73" s="615">
        <v>0</v>
      </c>
      <c r="U73" s="615">
        <v>0</v>
      </c>
      <c r="V73" s="615">
        <v>0</v>
      </c>
      <c r="W73" s="615">
        <v>0</v>
      </c>
      <c r="X73" s="615">
        <v>0</v>
      </c>
      <c r="Y73" s="615">
        <v>0</v>
      </c>
      <c r="Z73" s="615">
        <v>0</v>
      </c>
      <c r="AA73" s="615">
        <v>0</v>
      </c>
      <c r="AB73" s="616">
        <v>0</v>
      </c>
    </row>
    <row r="74" spans="1:28" s="74" customFormat="1">
      <c r="A74" s="443"/>
      <c r="B74" s="444" t="s">
        <v>49</v>
      </c>
      <c r="C74" s="445">
        <v>36783.216666666667</v>
      </c>
      <c r="D74" s="446"/>
      <c r="E74" s="446">
        <v>38995.741666666669</v>
      </c>
      <c r="F74" s="446">
        <v>19555.275000000001</v>
      </c>
      <c r="G74" s="446">
        <v>2188.6833333333334</v>
      </c>
      <c r="H74" s="446"/>
      <c r="I74" s="445">
        <v>97522.916666666672</v>
      </c>
      <c r="J74" s="445"/>
      <c r="K74" s="446">
        <v>15828.433333333334</v>
      </c>
      <c r="L74" s="446">
        <v>24056.033333333333</v>
      </c>
      <c r="M74" s="446">
        <v>4960</v>
      </c>
      <c r="N74" s="445">
        <v>44844.466666666667</v>
      </c>
      <c r="O74" s="618">
        <v>2928.8666666666668</v>
      </c>
      <c r="P74" s="446"/>
      <c r="Q74" s="446"/>
      <c r="R74" s="445">
        <v>2928.8666666666668</v>
      </c>
      <c r="S74" s="604"/>
      <c r="T74" s="604"/>
      <c r="U74" s="604"/>
      <c r="V74" s="604"/>
      <c r="W74" s="604"/>
      <c r="X74" s="604"/>
      <c r="Y74" s="604"/>
      <c r="Z74" s="604"/>
      <c r="AA74" s="604"/>
      <c r="AB74" s="606"/>
    </row>
    <row r="75" spans="1:28" s="74" customFormat="1">
      <c r="A75" s="443"/>
      <c r="B75" s="444" t="s">
        <v>451</v>
      </c>
      <c r="C75" s="445">
        <v>37089.974999999999</v>
      </c>
      <c r="D75" s="446"/>
      <c r="E75" s="446">
        <v>39647.724999999999</v>
      </c>
      <c r="F75" s="446">
        <v>19753.075000000001</v>
      </c>
      <c r="G75" s="446">
        <v>2220.25</v>
      </c>
      <c r="H75" s="446"/>
      <c r="I75" s="445">
        <v>98711.024999999994</v>
      </c>
      <c r="J75" s="445"/>
      <c r="K75" s="446">
        <v>16963.5</v>
      </c>
      <c r="L75" s="446">
        <v>27180.26666666667</v>
      </c>
      <c r="M75" s="446">
        <v>5589.6666666666661</v>
      </c>
      <c r="N75" s="445">
        <v>49733.433333333334</v>
      </c>
      <c r="O75" s="618">
        <v>3683.1666666666665</v>
      </c>
      <c r="P75" s="446"/>
      <c r="Q75" s="446"/>
      <c r="R75" s="445">
        <v>3683.1666666666665</v>
      </c>
      <c r="S75" s="604"/>
      <c r="T75" s="604"/>
      <c r="U75" s="604"/>
      <c r="V75" s="604"/>
      <c r="W75" s="604"/>
      <c r="X75" s="604"/>
      <c r="Y75" s="604"/>
      <c r="Z75" s="604"/>
      <c r="AA75" s="604"/>
      <c r="AB75" s="606"/>
    </row>
    <row r="76" spans="1:28" s="74" customFormat="1">
      <c r="A76" s="443"/>
      <c r="B76" s="447" t="s">
        <v>453</v>
      </c>
      <c r="C76" s="613">
        <v>8.3396277197072596E-3</v>
      </c>
      <c r="D76" s="614">
        <v>0</v>
      </c>
      <c r="E76" s="614">
        <v>1.6719346920144398E-2</v>
      </c>
      <c r="F76" s="614">
        <v>1.0114917841861045E-2</v>
      </c>
      <c r="G76" s="614">
        <v>1.442267421052228E-2</v>
      </c>
      <c r="H76" s="614">
        <v>0</v>
      </c>
      <c r="I76" s="613">
        <v>1.2182863002285828E-2</v>
      </c>
      <c r="J76" s="613">
        <v>0</v>
      </c>
      <c r="K76" s="614">
        <v>7.1710613600419429E-2</v>
      </c>
      <c r="L76" s="614">
        <v>0.12987317111022753</v>
      </c>
      <c r="M76" s="614">
        <v>0.12694892473118266</v>
      </c>
      <c r="N76" s="613">
        <v>0.10902051089171894</v>
      </c>
      <c r="O76" s="619">
        <v>0.25753989028748309</v>
      </c>
      <c r="P76" s="614">
        <v>0</v>
      </c>
      <c r="Q76" s="614">
        <v>0</v>
      </c>
      <c r="R76" s="613">
        <v>0.25753989028748309</v>
      </c>
      <c r="S76" s="615">
        <v>0</v>
      </c>
      <c r="T76" s="615">
        <v>0</v>
      </c>
      <c r="U76" s="615">
        <v>0</v>
      </c>
      <c r="V76" s="615">
        <v>0</v>
      </c>
      <c r="W76" s="615">
        <v>0</v>
      </c>
      <c r="X76" s="615">
        <v>0</v>
      </c>
      <c r="Y76" s="615">
        <v>0</v>
      </c>
      <c r="Z76" s="615">
        <v>0</v>
      </c>
      <c r="AA76" s="615">
        <v>0</v>
      </c>
      <c r="AB76" s="616">
        <v>0</v>
      </c>
    </row>
    <row r="77" spans="1:28" s="74" customFormat="1">
      <c r="A77" s="442" t="s">
        <v>795</v>
      </c>
      <c r="B77" s="440" t="s">
        <v>443</v>
      </c>
      <c r="C77" s="437">
        <v>23900.2</v>
      </c>
      <c r="D77" s="441">
        <v>26026.111111111113</v>
      </c>
      <c r="E77" s="441">
        <v>25767.766666666666</v>
      </c>
      <c r="F77" s="441">
        <v>29557.533333333336</v>
      </c>
      <c r="G77" s="441"/>
      <c r="H77" s="441"/>
      <c r="I77" s="437">
        <v>105251.61111111112</v>
      </c>
      <c r="J77" s="437">
        <v>1937.5333333333333</v>
      </c>
      <c r="K77" s="441">
        <v>9691.4666666666672</v>
      </c>
      <c r="L77" s="441">
        <v>10613</v>
      </c>
      <c r="M77" s="441">
        <v>6680.4</v>
      </c>
      <c r="N77" s="437">
        <v>28922.400000000001</v>
      </c>
      <c r="O77" s="437">
        <v>1458.4333333333334</v>
      </c>
      <c r="P77" s="441">
        <v>921.2166666666667</v>
      </c>
      <c r="Q77" s="441">
        <v>14085.35</v>
      </c>
      <c r="R77" s="437">
        <v>16465</v>
      </c>
      <c r="S77" s="603"/>
      <c r="T77" s="603"/>
      <c r="U77" s="603"/>
      <c r="V77" s="603"/>
      <c r="W77" s="603"/>
      <c r="X77" s="603"/>
      <c r="Y77" s="603"/>
      <c r="Z77" s="603"/>
      <c r="AA77" s="603"/>
      <c r="AB77" s="605"/>
    </row>
    <row r="78" spans="1:28" s="74" customFormat="1">
      <c r="A78" s="443"/>
      <c r="B78" s="444" t="s">
        <v>441</v>
      </c>
      <c r="C78" s="445">
        <v>23768</v>
      </c>
      <c r="D78" s="446">
        <v>28459.633333333331</v>
      </c>
      <c r="E78" s="446">
        <v>26129.966666666667</v>
      </c>
      <c r="F78" s="446">
        <v>30070.533333333329</v>
      </c>
      <c r="G78" s="446"/>
      <c r="H78" s="446"/>
      <c r="I78" s="445">
        <v>108428.13333333333</v>
      </c>
      <c r="J78" s="445">
        <v>1890.8</v>
      </c>
      <c r="K78" s="446">
        <v>11191.033333333333</v>
      </c>
      <c r="L78" s="446">
        <v>11311.233333333334</v>
      </c>
      <c r="M78" s="446">
        <v>7760.2866666666669</v>
      </c>
      <c r="N78" s="445">
        <v>32153.353333333333</v>
      </c>
      <c r="O78" s="445">
        <v>1759.2666666666667</v>
      </c>
      <c r="P78" s="446">
        <v>1077.8666666666666</v>
      </c>
      <c r="Q78" s="446">
        <v>16622.283333333333</v>
      </c>
      <c r="R78" s="445">
        <v>19459.416666666664</v>
      </c>
      <c r="S78" s="604"/>
      <c r="T78" s="604"/>
      <c r="U78" s="604"/>
      <c r="V78" s="604"/>
      <c r="W78" s="604"/>
      <c r="X78" s="604"/>
      <c r="Y78" s="604"/>
      <c r="Z78" s="604"/>
      <c r="AA78" s="604"/>
      <c r="AB78" s="606"/>
    </row>
    <row r="79" spans="1:28" s="74" customFormat="1">
      <c r="A79" s="443"/>
      <c r="B79" s="447" t="s">
        <v>455</v>
      </c>
      <c r="C79" s="613">
        <v>-5.5313344658204002E-3</v>
      </c>
      <c r="D79" s="614">
        <v>9.3503105855230695E-2</v>
      </c>
      <c r="E79" s="614">
        <v>1.4056321010875372E-2</v>
      </c>
      <c r="F79" s="614">
        <v>1.7355981441843117E-2</v>
      </c>
      <c r="G79" s="614">
        <v>0</v>
      </c>
      <c r="H79" s="614">
        <v>0</v>
      </c>
      <c r="I79" s="613">
        <v>3.018027171925039E-2</v>
      </c>
      <c r="J79" s="613">
        <v>-2.4120015139524491E-2</v>
      </c>
      <c r="K79" s="614">
        <v>0.15473062212805758</v>
      </c>
      <c r="L79" s="614">
        <v>6.5790382863783428E-2</v>
      </c>
      <c r="M79" s="614">
        <v>0.16165000099794433</v>
      </c>
      <c r="N79" s="613">
        <v>0.11171110742308173</v>
      </c>
      <c r="O79" s="617">
        <v>0.20627156994948911</v>
      </c>
      <c r="P79" s="614">
        <v>0.17004685832142261</v>
      </c>
      <c r="Q79" s="614">
        <v>0.18011148699417001</v>
      </c>
      <c r="R79" s="613">
        <v>0.18186557343860699</v>
      </c>
      <c r="S79" s="615">
        <v>0</v>
      </c>
      <c r="T79" s="615">
        <v>0</v>
      </c>
      <c r="U79" s="615">
        <v>0</v>
      </c>
      <c r="V79" s="615">
        <v>0</v>
      </c>
      <c r="W79" s="615">
        <v>0</v>
      </c>
      <c r="X79" s="615">
        <v>0</v>
      </c>
      <c r="Y79" s="615">
        <v>0</v>
      </c>
      <c r="Z79" s="615">
        <v>0</v>
      </c>
      <c r="AA79" s="615">
        <v>0</v>
      </c>
      <c r="AB79" s="616">
        <v>0</v>
      </c>
    </row>
    <row r="80" spans="1:28" s="74" customFormat="1">
      <c r="A80" s="443"/>
      <c r="B80" s="444" t="s">
        <v>439</v>
      </c>
      <c r="C80" s="445">
        <v>0</v>
      </c>
      <c r="D80" s="446">
        <v>0</v>
      </c>
      <c r="E80" s="446">
        <v>0</v>
      </c>
      <c r="F80" s="446">
        <v>0</v>
      </c>
      <c r="G80" s="446"/>
      <c r="H80" s="446"/>
      <c r="I80" s="445">
        <v>0</v>
      </c>
      <c r="J80" s="445">
        <v>0</v>
      </c>
      <c r="K80" s="446">
        <v>0</v>
      </c>
      <c r="L80" s="446">
        <v>0</v>
      </c>
      <c r="M80" s="446">
        <v>0</v>
      </c>
      <c r="N80" s="445">
        <v>0</v>
      </c>
      <c r="O80" s="618">
        <v>0</v>
      </c>
      <c r="P80" s="446">
        <v>24.097777777777779</v>
      </c>
      <c r="Q80" s="446">
        <v>98.387222222222221</v>
      </c>
      <c r="R80" s="445">
        <v>122.485</v>
      </c>
      <c r="S80" s="604"/>
      <c r="T80" s="604"/>
      <c r="U80" s="604"/>
      <c r="V80" s="604"/>
      <c r="W80" s="604"/>
      <c r="X80" s="604"/>
      <c r="Y80" s="604"/>
      <c r="Z80" s="604"/>
      <c r="AA80" s="604"/>
      <c r="AB80" s="606"/>
    </row>
    <row r="81" spans="1:28" s="74" customFormat="1">
      <c r="A81" s="443"/>
      <c r="B81" s="444" t="s">
        <v>437</v>
      </c>
      <c r="C81" s="445">
        <v>0</v>
      </c>
      <c r="D81" s="446">
        <v>0</v>
      </c>
      <c r="E81" s="446">
        <v>0</v>
      </c>
      <c r="F81" s="446">
        <v>0</v>
      </c>
      <c r="G81" s="446"/>
      <c r="H81" s="446"/>
      <c r="I81" s="445">
        <v>0</v>
      </c>
      <c r="J81" s="445">
        <v>0</v>
      </c>
      <c r="K81" s="446">
        <v>0</v>
      </c>
      <c r="L81" s="446">
        <v>0</v>
      </c>
      <c r="M81" s="446">
        <v>0</v>
      </c>
      <c r="N81" s="445">
        <v>0</v>
      </c>
      <c r="O81" s="618">
        <v>0</v>
      </c>
      <c r="P81" s="446">
        <v>39.406666666666666</v>
      </c>
      <c r="Q81" s="446">
        <v>108.17722222222223</v>
      </c>
      <c r="R81" s="445">
        <v>147.58388888888891</v>
      </c>
      <c r="S81" s="604"/>
      <c r="T81" s="604"/>
      <c r="U81" s="604"/>
      <c r="V81" s="604"/>
      <c r="W81" s="604"/>
      <c r="X81" s="604"/>
      <c r="Y81" s="604"/>
      <c r="Z81" s="604"/>
      <c r="AA81" s="604"/>
      <c r="AB81" s="606"/>
    </row>
    <row r="82" spans="1:28" s="74" customFormat="1">
      <c r="A82" s="443"/>
      <c r="B82" s="447" t="s">
        <v>457</v>
      </c>
      <c r="C82" s="613">
        <v>0</v>
      </c>
      <c r="D82" s="614">
        <v>0</v>
      </c>
      <c r="E82" s="614">
        <v>0</v>
      </c>
      <c r="F82" s="614">
        <v>0</v>
      </c>
      <c r="G82" s="614">
        <v>0</v>
      </c>
      <c r="H82" s="614">
        <v>0</v>
      </c>
      <c r="I82" s="613">
        <v>0</v>
      </c>
      <c r="J82" s="613">
        <v>0</v>
      </c>
      <c r="K82" s="614">
        <v>0</v>
      </c>
      <c r="L82" s="614">
        <v>0</v>
      </c>
      <c r="M82" s="614">
        <v>0</v>
      </c>
      <c r="N82" s="613">
        <v>0</v>
      </c>
      <c r="O82" s="617">
        <v>0</v>
      </c>
      <c r="P82" s="614">
        <v>0.63528218369605305</v>
      </c>
      <c r="Q82" s="614">
        <v>9.9504791159647041E-2</v>
      </c>
      <c r="R82" s="613">
        <v>0.20491398039669273</v>
      </c>
      <c r="S82" s="615">
        <v>0</v>
      </c>
      <c r="T82" s="615">
        <v>0</v>
      </c>
      <c r="U82" s="615">
        <v>0</v>
      </c>
      <c r="V82" s="615">
        <v>0</v>
      </c>
      <c r="W82" s="615">
        <v>0</v>
      </c>
      <c r="X82" s="615">
        <v>0</v>
      </c>
      <c r="Y82" s="615">
        <v>0</v>
      </c>
      <c r="Z82" s="615">
        <v>0</v>
      </c>
      <c r="AA82" s="615">
        <v>0</v>
      </c>
      <c r="AB82" s="616">
        <v>0</v>
      </c>
    </row>
    <row r="83" spans="1:28" s="74" customFormat="1">
      <c r="A83" s="443"/>
      <c r="B83" s="444" t="s">
        <v>445</v>
      </c>
      <c r="C83" s="445">
        <v>4441.145833333333</v>
      </c>
      <c r="D83" s="446">
        <v>3806.0833333333335</v>
      </c>
      <c r="E83" s="446">
        <v>2904.458333333333</v>
      </c>
      <c r="F83" s="446">
        <v>2730.791666666667</v>
      </c>
      <c r="G83" s="446"/>
      <c r="H83" s="446"/>
      <c r="I83" s="445">
        <v>13882.479166666668</v>
      </c>
      <c r="J83" s="445">
        <v>0</v>
      </c>
      <c r="K83" s="446">
        <v>0</v>
      </c>
      <c r="L83" s="446">
        <v>0</v>
      </c>
      <c r="M83" s="446">
        <v>0</v>
      </c>
      <c r="N83" s="445">
        <v>0</v>
      </c>
      <c r="O83" s="618">
        <v>0</v>
      </c>
      <c r="P83" s="446">
        <v>0</v>
      </c>
      <c r="Q83" s="446">
        <v>0</v>
      </c>
      <c r="R83" s="445">
        <v>0</v>
      </c>
      <c r="S83" s="604"/>
      <c r="T83" s="604"/>
      <c r="U83" s="604"/>
      <c r="V83" s="604"/>
      <c r="W83" s="604"/>
      <c r="X83" s="604"/>
      <c r="Y83" s="604"/>
      <c r="Z83" s="604"/>
      <c r="AA83" s="604"/>
      <c r="AB83" s="606"/>
    </row>
    <row r="84" spans="1:28" s="74" customFormat="1">
      <c r="A84" s="443"/>
      <c r="B84" s="444" t="s">
        <v>447</v>
      </c>
      <c r="C84" s="445">
        <v>4666.875</v>
      </c>
      <c r="D84" s="446">
        <v>4285.083333333333</v>
      </c>
      <c r="E84" s="446">
        <v>2953.9583333333335</v>
      </c>
      <c r="F84" s="446">
        <v>2808.4166666666665</v>
      </c>
      <c r="G84" s="446"/>
      <c r="H84" s="446"/>
      <c r="I84" s="445">
        <v>14714.333333333332</v>
      </c>
      <c r="J84" s="445">
        <v>0</v>
      </c>
      <c r="K84" s="446">
        <v>0</v>
      </c>
      <c r="L84" s="446">
        <v>0</v>
      </c>
      <c r="M84" s="446">
        <v>0</v>
      </c>
      <c r="N84" s="445">
        <v>0</v>
      </c>
      <c r="O84" s="618">
        <v>0</v>
      </c>
      <c r="P84" s="446">
        <v>0</v>
      </c>
      <c r="Q84" s="446">
        <v>0</v>
      </c>
      <c r="R84" s="445">
        <v>0</v>
      </c>
      <c r="S84" s="604"/>
      <c r="T84" s="604"/>
      <c r="U84" s="604"/>
      <c r="V84" s="604"/>
      <c r="W84" s="604"/>
      <c r="X84" s="604"/>
      <c r="Y84" s="604"/>
      <c r="Z84" s="604"/>
      <c r="AA84" s="604"/>
      <c r="AB84" s="606"/>
    </row>
    <row r="85" spans="1:28" s="74" customFormat="1">
      <c r="A85" s="443"/>
      <c r="B85" s="447" t="s">
        <v>449</v>
      </c>
      <c r="C85" s="613">
        <v>5.0826785504866967E-2</v>
      </c>
      <c r="D85" s="614">
        <v>0.12585115932826821</v>
      </c>
      <c r="E85" s="614">
        <v>1.7042764715165064E-2</v>
      </c>
      <c r="F85" s="614">
        <v>2.8425822792535572E-2</v>
      </c>
      <c r="G85" s="614">
        <v>0</v>
      </c>
      <c r="H85" s="614">
        <v>0</v>
      </c>
      <c r="I85" s="613">
        <v>5.9921153612391941E-2</v>
      </c>
      <c r="J85" s="613">
        <v>0</v>
      </c>
      <c r="K85" s="614">
        <v>0</v>
      </c>
      <c r="L85" s="614">
        <v>0</v>
      </c>
      <c r="M85" s="614">
        <v>0</v>
      </c>
      <c r="N85" s="613">
        <v>0</v>
      </c>
      <c r="O85" s="617">
        <v>0</v>
      </c>
      <c r="P85" s="614">
        <v>0</v>
      </c>
      <c r="Q85" s="614">
        <v>0</v>
      </c>
      <c r="R85" s="613">
        <v>0</v>
      </c>
      <c r="S85" s="615">
        <v>0</v>
      </c>
      <c r="T85" s="615">
        <v>0</v>
      </c>
      <c r="U85" s="615">
        <v>0</v>
      </c>
      <c r="V85" s="615">
        <v>0</v>
      </c>
      <c r="W85" s="615">
        <v>0</v>
      </c>
      <c r="X85" s="615">
        <v>0</v>
      </c>
      <c r="Y85" s="615">
        <v>0</v>
      </c>
      <c r="Z85" s="615">
        <v>0</v>
      </c>
      <c r="AA85" s="615">
        <v>0</v>
      </c>
      <c r="AB85" s="616">
        <v>0</v>
      </c>
    </row>
    <row r="86" spans="1:28" s="74" customFormat="1">
      <c r="A86" s="443"/>
      <c r="B86" s="444" t="s">
        <v>49</v>
      </c>
      <c r="C86" s="445">
        <v>28341.345833333333</v>
      </c>
      <c r="D86" s="446">
        <v>29832.194444444445</v>
      </c>
      <c r="E86" s="446">
        <v>28672.224999999999</v>
      </c>
      <c r="F86" s="446">
        <v>32288.325000000001</v>
      </c>
      <c r="G86" s="446"/>
      <c r="H86" s="446"/>
      <c r="I86" s="445">
        <v>119134.09027777777</v>
      </c>
      <c r="J86" s="445">
        <v>1937.5333333333333</v>
      </c>
      <c r="K86" s="446">
        <v>9691.4666666666672</v>
      </c>
      <c r="L86" s="446">
        <v>10613</v>
      </c>
      <c r="M86" s="446">
        <v>6680.4</v>
      </c>
      <c r="N86" s="445">
        <v>28922.400000000001</v>
      </c>
      <c r="O86" s="618">
        <v>1458.4333333333334</v>
      </c>
      <c r="P86" s="446">
        <v>945.31444444444446</v>
      </c>
      <c r="Q86" s="446">
        <v>14183.737222222222</v>
      </c>
      <c r="R86" s="445">
        <v>16587.485000000001</v>
      </c>
      <c r="S86" s="604"/>
      <c r="T86" s="604"/>
      <c r="U86" s="604"/>
      <c r="V86" s="604"/>
      <c r="W86" s="604"/>
      <c r="X86" s="604"/>
      <c r="Y86" s="604"/>
      <c r="Z86" s="604"/>
      <c r="AA86" s="604"/>
      <c r="AB86" s="606"/>
    </row>
    <row r="87" spans="1:28" s="74" customFormat="1">
      <c r="A87" s="443"/>
      <c r="B87" s="444" t="s">
        <v>451</v>
      </c>
      <c r="C87" s="445">
        <v>28434.875</v>
      </c>
      <c r="D87" s="446">
        <v>32744.716666666667</v>
      </c>
      <c r="E87" s="446">
        <v>29083.925000000003</v>
      </c>
      <c r="F87" s="446">
        <v>32878.949999999997</v>
      </c>
      <c r="G87" s="446"/>
      <c r="H87" s="446"/>
      <c r="I87" s="445">
        <v>123142.46666666666</v>
      </c>
      <c r="J87" s="445">
        <v>1890.8</v>
      </c>
      <c r="K87" s="446">
        <v>11191.033333333333</v>
      </c>
      <c r="L87" s="446">
        <v>11311.233333333334</v>
      </c>
      <c r="M87" s="446">
        <v>7760.2866666666669</v>
      </c>
      <c r="N87" s="445">
        <v>32153.353333333333</v>
      </c>
      <c r="O87" s="618">
        <v>1759.2666666666667</v>
      </c>
      <c r="P87" s="446">
        <v>1117.2733333333333</v>
      </c>
      <c r="Q87" s="446">
        <v>16730.460555555554</v>
      </c>
      <c r="R87" s="445">
        <v>19607.000555555554</v>
      </c>
      <c r="S87" s="604"/>
      <c r="T87" s="604"/>
      <c r="U87" s="604"/>
      <c r="V87" s="604"/>
      <c r="W87" s="604"/>
      <c r="X87" s="604"/>
      <c r="Y87" s="604"/>
      <c r="Z87" s="604"/>
      <c r="AA87" s="604"/>
      <c r="AB87" s="606"/>
    </row>
    <row r="88" spans="1:28" s="74" customFormat="1">
      <c r="A88" s="443"/>
      <c r="B88" s="447" t="s">
        <v>453</v>
      </c>
      <c r="C88" s="613">
        <v>3.3000961639818795E-3</v>
      </c>
      <c r="D88" s="614">
        <v>9.7630170239273548E-2</v>
      </c>
      <c r="E88" s="614">
        <v>1.435884379395057E-2</v>
      </c>
      <c r="F88" s="614">
        <v>1.829221552991666E-2</v>
      </c>
      <c r="G88" s="614">
        <v>0</v>
      </c>
      <c r="H88" s="614">
        <v>0</v>
      </c>
      <c r="I88" s="613">
        <v>3.3645922670352407E-2</v>
      </c>
      <c r="J88" s="613">
        <v>-2.4120015139524491E-2</v>
      </c>
      <c r="K88" s="614">
        <v>0.15473062212805758</v>
      </c>
      <c r="L88" s="614">
        <v>6.5790382863783428E-2</v>
      </c>
      <c r="M88" s="614">
        <v>0.16165000099794433</v>
      </c>
      <c r="N88" s="613">
        <v>0.11171110742308173</v>
      </c>
      <c r="O88" s="619">
        <v>0.20627156994948911</v>
      </c>
      <c r="P88" s="614">
        <v>0.18190654961370875</v>
      </c>
      <c r="Q88" s="614">
        <v>0.17955234882265581</v>
      </c>
      <c r="R88" s="613">
        <v>0.18203576705905408</v>
      </c>
      <c r="S88" s="615">
        <v>0</v>
      </c>
      <c r="T88" s="615">
        <v>0</v>
      </c>
      <c r="U88" s="615">
        <v>0</v>
      </c>
      <c r="V88" s="615">
        <v>0</v>
      </c>
      <c r="W88" s="615">
        <v>0</v>
      </c>
      <c r="X88" s="615">
        <v>0</v>
      </c>
      <c r="Y88" s="615">
        <v>0</v>
      </c>
      <c r="Z88" s="615">
        <v>0</v>
      </c>
      <c r="AA88" s="615">
        <v>0</v>
      </c>
      <c r="AB88" s="616">
        <v>0</v>
      </c>
    </row>
    <row r="89" spans="1:28" s="74" customFormat="1">
      <c r="A89" s="442" t="s">
        <v>173</v>
      </c>
      <c r="B89" s="440" t="s">
        <v>443</v>
      </c>
      <c r="C89" s="437">
        <v>25969.566666666666</v>
      </c>
      <c r="D89" s="441">
        <v>9076.5666666666675</v>
      </c>
      <c r="E89" s="441">
        <v>21224.199999999997</v>
      </c>
      <c r="F89" s="441">
        <v>23457.733333333334</v>
      </c>
      <c r="G89" s="441"/>
      <c r="H89" s="441">
        <v>2064.4516666666668</v>
      </c>
      <c r="I89" s="437">
        <v>81792.518333333326</v>
      </c>
      <c r="J89" s="437"/>
      <c r="K89" s="441">
        <v>47629.51666666667</v>
      </c>
      <c r="L89" s="441">
        <v>26577.733333333334</v>
      </c>
      <c r="M89" s="441">
        <v>8075.9833333333336</v>
      </c>
      <c r="N89" s="437">
        <v>82283.233333333337</v>
      </c>
      <c r="O89" s="437"/>
      <c r="P89" s="441"/>
      <c r="Q89" s="441"/>
      <c r="R89" s="437"/>
      <c r="S89" s="603"/>
      <c r="T89" s="603"/>
      <c r="U89" s="603"/>
      <c r="V89" s="603"/>
      <c r="W89" s="603"/>
      <c r="X89" s="603"/>
      <c r="Y89" s="603"/>
      <c r="Z89" s="603"/>
      <c r="AA89" s="603"/>
      <c r="AB89" s="605"/>
    </row>
    <row r="90" spans="1:28" s="74" customFormat="1">
      <c r="A90" s="443"/>
      <c r="B90" s="444" t="s">
        <v>441</v>
      </c>
      <c r="C90" s="445">
        <v>26384.45</v>
      </c>
      <c r="D90" s="446">
        <v>9345.4666666666672</v>
      </c>
      <c r="E90" s="446">
        <v>22198.3</v>
      </c>
      <c r="F90" s="446">
        <v>24569.733333333334</v>
      </c>
      <c r="G90" s="446"/>
      <c r="H90" s="446">
        <v>2074.9833333333331</v>
      </c>
      <c r="I90" s="445">
        <v>84572.933333333349</v>
      </c>
      <c r="J90" s="445"/>
      <c r="K90" s="446">
        <v>53202.85</v>
      </c>
      <c r="L90" s="446">
        <v>27380.566666666666</v>
      </c>
      <c r="M90" s="446">
        <v>8742.4016666666666</v>
      </c>
      <c r="N90" s="445">
        <v>89325.818333333329</v>
      </c>
      <c r="O90" s="445"/>
      <c r="P90" s="446"/>
      <c r="Q90" s="446"/>
      <c r="R90" s="445"/>
      <c r="S90" s="604"/>
      <c r="T90" s="604"/>
      <c r="U90" s="604"/>
      <c r="V90" s="604"/>
      <c r="W90" s="604"/>
      <c r="X90" s="604"/>
      <c r="Y90" s="604"/>
      <c r="Z90" s="604"/>
      <c r="AA90" s="604"/>
      <c r="AB90" s="606"/>
    </row>
    <row r="91" spans="1:28" s="74" customFormat="1">
      <c r="A91" s="443"/>
      <c r="B91" s="447" t="s">
        <v>455</v>
      </c>
      <c r="C91" s="613">
        <v>1.5975751103535357E-2</v>
      </c>
      <c r="D91" s="614">
        <v>2.9625739541750327E-2</v>
      </c>
      <c r="E91" s="614">
        <v>4.589572280698459E-2</v>
      </c>
      <c r="F91" s="614">
        <v>4.7404409633212644E-2</v>
      </c>
      <c r="G91" s="614">
        <v>0</v>
      </c>
      <c r="H91" s="614">
        <v>5.1014353286706294E-3</v>
      </c>
      <c r="I91" s="613">
        <v>3.3993512568825268E-2</v>
      </c>
      <c r="J91" s="613">
        <v>0</v>
      </c>
      <c r="K91" s="614">
        <v>0.11701427441177047</v>
      </c>
      <c r="L91" s="614">
        <v>3.0206990312692784E-2</v>
      </c>
      <c r="M91" s="614">
        <v>8.2518537474280701E-2</v>
      </c>
      <c r="N91" s="613">
        <v>8.5589551050700166E-2</v>
      </c>
      <c r="O91" s="617">
        <v>0</v>
      </c>
      <c r="P91" s="614">
        <v>0</v>
      </c>
      <c r="Q91" s="614">
        <v>0</v>
      </c>
      <c r="R91" s="613">
        <v>0</v>
      </c>
      <c r="S91" s="615">
        <v>0</v>
      </c>
      <c r="T91" s="615">
        <v>0</v>
      </c>
      <c r="U91" s="615">
        <v>0</v>
      </c>
      <c r="V91" s="615">
        <v>0</v>
      </c>
      <c r="W91" s="615">
        <v>0</v>
      </c>
      <c r="X91" s="615">
        <v>0</v>
      </c>
      <c r="Y91" s="615">
        <v>0</v>
      </c>
      <c r="Z91" s="615">
        <v>0</v>
      </c>
      <c r="AA91" s="615">
        <v>0</v>
      </c>
      <c r="AB91" s="616">
        <v>0</v>
      </c>
    </row>
    <row r="92" spans="1:28" s="74" customFormat="1">
      <c r="A92" s="443"/>
      <c r="B92" s="444" t="s">
        <v>439</v>
      </c>
      <c r="C92" s="445">
        <v>0</v>
      </c>
      <c r="D92" s="446">
        <v>0</v>
      </c>
      <c r="E92" s="446">
        <v>0</v>
      </c>
      <c r="F92" s="446">
        <v>0</v>
      </c>
      <c r="G92" s="446"/>
      <c r="H92" s="446">
        <v>0</v>
      </c>
      <c r="I92" s="445">
        <v>0</v>
      </c>
      <c r="J92" s="445"/>
      <c r="K92" s="446">
        <v>0</v>
      </c>
      <c r="L92" s="446">
        <v>0</v>
      </c>
      <c r="M92" s="446">
        <v>0</v>
      </c>
      <c r="N92" s="445">
        <v>0</v>
      </c>
      <c r="O92" s="618"/>
      <c r="P92" s="446"/>
      <c r="Q92" s="446"/>
      <c r="R92" s="445"/>
      <c r="S92" s="604"/>
      <c r="T92" s="604"/>
      <c r="U92" s="604"/>
      <c r="V92" s="604"/>
      <c r="W92" s="604"/>
      <c r="X92" s="604"/>
      <c r="Y92" s="604"/>
      <c r="Z92" s="604"/>
      <c r="AA92" s="604"/>
      <c r="AB92" s="606"/>
    </row>
    <row r="93" spans="1:28" s="74" customFormat="1">
      <c r="A93" s="443"/>
      <c r="B93" s="444" t="s">
        <v>437</v>
      </c>
      <c r="C93" s="445">
        <v>0</v>
      </c>
      <c r="D93" s="446">
        <v>0</v>
      </c>
      <c r="E93" s="446">
        <v>0</v>
      </c>
      <c r="F93" s="446">
        <v>0</v>
      </c>
      <c r="G93" s="446"/>
      <c r="H93" s="446">
        <v>0</v>
      </c>
      <c r="I93" s="445">
        <v>0</v>
      </c>
      <c r="J93" s="445"/>
      <c r="K93" s="446">
        <v>0</v>
      </c>
      <c r="L93" s="446">
        <v>0</v>
      </c>
      <c r="M93" s="446">
        <v>0</v>
      </c>
      <c r="N93" s="445">
        <v>0</v>
      </c>
      <c r="O93" s="618"/>
      <c r="P93" s="446"/>
      <c r="Q93" s="446"/>
      <c r="R93" s="445"/>
      <c r="S93" s="604"/>
      <c r="T93" s="604"/>
      <c r="U93" s="604"/>
      <c r="V93" s="604"/>
      <c r="W93" s="604"/>
      <c r="X93" s="604"/>
      <c r="Y93" s="604"/>
      <c r="Z93" s="604"/>
      <c r="AA93" s="604"/>
      <c r="AB93" s="606"/>
    </row>
    <row r="94" spans="1:28" s="74" customFormat="1">
      <c r="A94" s="443"/>
      <c r="B94" s="447" t="s">
        <v>457</v>
      </c>
      <c r="C94" s="613">
        <v>0</v>
      </c>
      <c r="D94" s="614">
        <v>0</v>
      </c>
      <c r="E94" s="614">
        <v>0</v>
      </c>
      <c r="F94" s="614">
        <v>0</v>
      </c>
      <c r="G94" s="614">
        <v>0</v>
      </c>
      <c r="H94" s="614">
        <v>0</v>
      </c>
      <c r="I94" s="613">
        <v>0</v>
      </c>
      <c r="J94" s="613">
        <v>0</v>
      </c>
      <c r="K94" s="614">
        <v>0</v>
      </c>
      <c r="L94" s="614">
        <v>0</v>
      </c>
      <c r="M94" s="614">
        <v>0</v>
      </c>
      <c r="N94" s="613">
        <v>0</v>
      </c>
      <c r="O94" s="617">
        <v>0</v>
      </c>
      <c r="P94" s="614">
        <v>0</v>
      </c>
      <c r="Q94" s="614">
        <v>0</v>
      </c>
      <c r="R94" s="613">
        <v>0</v>
      </c>
      <c r="S94" s="615">
        <v>0</v>
      </c>
      <c r="T94" s="615">
        <v>0</v>
      </c>
      <c r="U94" s="615">
        <v>0</v>
      </c>
      <c r="V94" s="615">
        <v>0</v>
      </c>
      <c r="W94" s="615">
        <v>0</v>
      </c>
      <c r="X94" s="615">
        <v>0</v>
      </c>
      <c r="Y94" s="615">
        <v>0</v>
      </c>
      <c r="Z94" s="615">
        <v>0</v>
      </c>
      <c r="AA94" s="615">
        <v>0</v>
      </c>
      <c r="AB94" s="616">
        <v>0</v>
      </c>
    </row>
    <row r="95" spans="1:28" s="74" customFormat="1">
      <c r="A95" s="443"/>
      <c r="B95" s="444" t="s">
        <v>445</v>
      </c>
      <c r="C95" s="445">
        <v>6226.666666666667</v>
      </c>
      <c r="D95" s="446">
        <v>1199.4583333333333</v>
      </c>
      <c r="E95" s="446">
        <v>2900.1666666666665</v>
      </c>
      <c r="F95" s="446">
        <v>4606.916666666667</v>
      </c>
      <c r="G95" s="446"/>
      <c r="H95" s="446">
        <v>53.416666666666664</v>
      </c>
      <c r="I95" s="445">
        <v>14986.624999999998</v>
      </c>
      <c r="J95" s="445"/>
      <c r="K95" s="446">
        <v>0</v>
      </c>
      <c r="L95" s="446">
        <v>0</v>
      </c>
      <c r="M95" s="446">
        <v>0</v>
      </c>
      <c r="N95" s="445">
        <v>0</v>
      </c>
      <c r="O95" s="618"/>
      <c r="P95" s="446"/>
      <c r="Q95" s="446"/>
      <c r="R95" s="445"/>
      <c r="S95" s="604"/>
      <c r="T95" s="604"/>
      <c r="U95" s="604"/>
      <c r="V95" s="604"/>
      <c r="W95" s="604"/>
      <c r="X95" s="604"/>
      <c r="Y95" s="604"/>
      <c r="Z95" s="604"/>
      <c r="AA95" s="604"/>
      <c r="AB95" s="606"/>
    </row>
    <row r="96" spans="1:28" s="74" customFormat="1">
      <c r="A96" s="443"/>
      <c r="B96" s="444" t="s">
        <v>447</v>
      </c>
      <c r="C96" s="445">
        <v>6453.1116666666667</v>
      </c>
      <c r="D96" s="446">
        <v>1296.3333333333333</v>
      </c>
      <c r="E96" s="446">
        <v>2860.3333333333335</v>
      </c>
      <c r="F96" s="446">
        <v>4686</v>
      </c>
      <c r="G96" s="446"/>
      <c r="H96" s="446">
        <v>80.166666666666671</v>
      </c>
      <c r="I96" s="445">
        <v>15375.945</v>
      </c>
      <c r="J96" s="445"/>
      <c r="K96" s="446">
        <v>0</v>
      </c>
      <c r="L96" s="446">
        <v>0</v>
      </c>
      <c r="M96" s="446">
        <v>0</v>
      </c>
      <c r="N96" s="445">
        <v>0</v>
      </c>
      <c r="O96" s="618"/>
      <c r="P96" s="446"/>
      <c r="Q96" s="446"/>
      <c r="R96" s="445"/>
      <c r="S96" s="604"/>
      <c r="T96" s="604"/>
      <c r="U96" s="604"/>
      <c r="V96" s="604"/>
      <c r="W96" s="604"/>
      <c r="X96" s="604"/>
      <c r="Y96" s="604"/>
      <c r="Z96" s="604"/>
      <c r="AA96" s="604"/>
      <c r="AB96" s="606"/>
    </row>
    <row r="97" spans="1:28" s="74" customFormat="1">
      <c r="A97" s="443"/>
      <c r="B97" s="447" t="s">
        <v>449</v>
      </c>
      <c r="C97" s="613">
        <v>3.6366970021413231E-2</v>
      </c>
      <c r="D97" s="625">
        <v>8.0765623371660822E-2</v>
      </c>
      <c r="E97" s="614">
        <v>-1.3734842825124889E-2</v>
      </c>
      <c r="F97" s="614">
        <v>1.7166217462872786E-2</v>
      </c>
      <c r="G97" s="614">
        <v>0</v>
      </c>
      <c r="H97" s="614">
        <v>0.50078003120124825</v>
      </c>
      <c r="I97" s="613">
        <v>2.5977830231956812E-2</v>
      </c>
      <c r="J97" s="613">
        <v>0</v>
      </c>
      <c r="K97" s="614">
        <v>0</v>
      </c>
      <c r="L97" s="614">
        <v>0</v>
      </c>
      <c r="M97" s="614">
        <v>0</v>
      </c>
      <c r="N97" s="613">
        <v>0</v>
      </c>
      <c r="O97" s="617">
        <v>0</v>
      </c>
      <c r="P97" s="614">
        <v>0</v>
      </c>
      <c r="Q97" s="614">
        <v>0</v>
      </c>
      <c r="R97" s="613">
        <v>0</v>
      </c>
      <c r="S97" s="615">
        <v>0</v>
      </c>
      <c r="T97" s="615">
        <v>0</v>
      </c>
      <c r="U97" s="615">
        <v>0</v>
      </c>
      <c r="V97" s="615">
        <v>0</v>
      </c>
      <c r="W97" s="615">
        <v>0</v>
      </c>
      <c r="X97" s="615">
        <v>0</v>
      </c>
      <c r="Y97" s="615">
        <v>0</v>
      </c>
      <c r="Z97" s="615">
        <v>0</v>
      </c>
      <c r="AA97" s="615">
        <v>0</v>
      </c>
      <c r="AB97" s="616">
        <v>0</v>
      </c>
    </row>
    <row r="98" spans="1:28" s="74" customFormat="1">
      <c r="A98" s="443"/>
      <c r="B98" s="444" t="s">
        <v>49</v>
      </c>
      <c r="C98" s="445">
        <v>32196.233333333334</v>
      </c>
      <c r="D98" s="446">
        <v>10276.025000000001</v>
      </c>
      <c r="E98" s="446">
        <v>24124.366666666669</v>
      </c>
      <c r="F98" s="446">
        <v>28064.649999999998</v>
      </c>
      <c r="G98" s="446"/>
      <c r="H98" s="446">
        <v>2117.8683333333333</v>
      </c>
      <c r="I98" s="445">
        <v>96779.143333333326</v>
      </c>
      <c r="J98" s="445"/>
      <c r="K98" s="446">
        <v>47629.51666666667</v>
      </c>
      <c r="L98" s="446">
        <v>26577.733333333334</v>
      </c>
      <c r="M98" s="446">
        <v>8075.9833333333336</v>
      </c>
      <c r="N98" s="445">
        <v>82283.233333333337</v>
      </c>
      <c r="O98" s="618"/>
      <c r="P98" s="446"/>
      <c r="Q98" s="446"/>
      <c r="R98" s="445"/>
      <c r="S98" s="604"/>
      <c r="T98" s="604"/>
      <c r="U98" s="604"/>
      <c r="V98" s="604"/>
      <c r="W98" s="604"/>
      <c r="X98" s="604"/>
      <c r="Y98" s="604"/>
      <c r="Z98" s="604"/>
      <c r="AA98" s="604"/>
      <c r="AB98" s="606"/>
    </row>
    <row r="99" spans="1:28" s="74" customFormat="1">
      <c r="A99" s="443"/>
      <c r="B99" s="444" t="s">
        <v>451</v>
      </c>
      <c r="C99" s="445">
        <v>32837.561666666668</v>
      </c>
      <c r="D99" s="446">
        <v>10641.800000000001</v>
      </c>
      <c r="E99" s="446">
        <v>25058.633333333331</v>
      </c>
      <c r="F99" s="446">
        <v>29255.733333333334</v>
      </c>
      <c r="G99" s="446"/>
      <c r="H99" s="446">
        <v>2155.1499999999996</v>
      </c>
      <c r="I99" s="445">
        <v>99948.878333333327</v>
      </c>
      <c r="J99" s="445"/>
      <c r="K99" s="446">
        <v>53202.85</v>
      </c>
      <c r="L99" s="446">
        <v>27380.566666666666</v>
      </c>
      <c r="M99" s="446">
        <v>8742.4016666666666</v>
      </c>
      <c r="N99" s="445">
        <v>89325.818333333329</v>
      </c>
      <c r="O99" s="618"/>
      <c r="P99" s="446"/>
      <c r="Q99" s="446"/>
      <c r="R99" s="445"/>
      <c r="S99" s="604"/>
      <c r="T99" s="604"/>
      <c r="U99" s="604"/>
      <c r="V99" s="604"/>
      <c r="W99" s="604"/>
      <c r="X99" s="604"/>
      <c r="Y99" s="604"/>
      <c r="Z99" s="604"/>
      <c r="AA99" s="604"/>
      <c r="AB99" s="606"/>
    </row>
    <row r="100" spans="1:28" s="74" customFormat="1">
      <c r="A100" s="443"/>
      <c r="B100" s="447" t="s">
        <v>453</v>
      </c>
      <c r="C100" s="613">
        <v>1.9919359096871623E-2</v>
      </c>
      <c r="D100" s="614">
        <v>3.5594989307635938E-2</v>
      </c>
      <c r="E100" s="614">
        <v>3.8727096117203604E-2</v>
      </c>
      <c r="F100" s="614">
        <v>4.2440697936134454E-2</v>
      </c>
      <c r="G100" s="614">
        <v>0</v>
      </c>
      <c r="H100" s="614">
        <v>1.7603392090002272E-2</v>
      </c>
      <c r="I100" s="613">
        <v>3.2752253128368602E-2</v>
      </c>
      <c r="J100" s="613">
        <v>0</v>
      </c>
      <c r="K100" s="614">
        <v>0.11701427441177047</v>
      </c>
      <c r="L100" s="614">
        <v>3.0206990312692784E-2</v>
      </c>
      <c r="M100" s="614">
        <v>8.2518537474280701E-2</v>
      </c>
      <c r="N100" s="613">
        <v>8.5589551050700166E-2</v>
      </c>
      <c r="O100" s="619">
        <v>0</v>
      </c>
      <c r="P100" s="614">
        <v>0</v>
      </c>
      <c r="Q100" s="614">
        <v>0</v>
      </c>
      <c r="R100" s="613">
        <v>0</v>
      </c>
      <c r="S100" s="615">
        <v>0</v>
      </c>
      <c r="T100" s="615">
        <v>0</v>
      </c>
      <c r="U100" s="615">
        <v>0</v>
      </c>
      <c r="V100" s="615">
        <v>0</v>
      </c>
      <c r="W100" s="615">
        <v>0</v>
      </c>
      <c r="X100" s="615">
        <v>0</v>
      </c>
      <c r="Y100" s="615">
        <v>0</v>
      </c>
      <c r="Z100" s="615">
        <v>0</v>
      </c>
      <c r="AA100" s="615">
        <v>0</v>
      </c>
      <c r="AB100" s="616">
        <v>0</v>
      </c>
    </row>
    <row r="101" spans="1:28" s="74" customFormat="1">
      <c r="A101" s="442" t="s">
        <v>638</v>
      </c>
      <c r="B101" s="440" t="s">
        <v>443</v>
      </c>
      <c r="C101" s="437">
        <v>23206.483333333334</v>
      </c>
      <c r="D101" s="441">
        <v>17503.366666666669</v>
      </c>
      <c r="E101" s="441"/>
      <c r="F101" s="441">
        <v>7672.3666666666668</v>
      </c>
      <c r="G101" s="441">
        <v>1850.2</v>
      </c>
      <c r="H101" s="441"/>
      <c r="I101" s="437">
        <v>50232.416666666672</v>
      </c>
      <c r="J101" s="437"/>
      <c r="K101" s="441">
        <v>21342.799999999999</v>
      </c>
      <c r="L101" s="441">
        <v>34138.933333333334</v>
      </c>
      <c r="M101" s="441">
        <v>3109.9333333333334</v>
      </c>
      <c r="N101" s="437">
        <v>58591.666666666672</v>
      </c>
      <c r="O101" s="437"/>
      <c r="P101" s="441"/>
      <c r="Q101" s="441"/>
      <c r="R101" s="437"/>
      <c r="S101" s="603"/>
      <c r="T101" s="603"/>
      <c r="U101" s="603"/>
      <c r="V101" s="603"/>
      <c r="W101" s="603"/>
      <c r="X101" s="603"/>
      <c r="Y101" s="603"/>
      <c r="Z101" s="603"/>
      <c r="AA101" s="603"/>
      <c r="AB101" s="605"/>
    </row>
    <row r="102" spans="1:28" s="74" customFormat="1">
      <c r="A102" s="443"/>
      <c r="B102" s="444" t="s">
        <v>441</v>
      </c>
      <c r="C102" s="445">
        <v>24690.366666666669</v>
      </c>
      <c r="D102" s="446">
        <v>17788</v>
      </c>
      <c r="E102" s="446"/>
      <c r="F102" s="446">
        <v>7522.7666666666664</v>
      </c>
      <c r="G102" s="446">
        <v>1926.8</v>
      </c>
      <c r="H102" s="446"/>
      <c r="I102" s="445">
        <v>51927.933333333334</v>
      </c>
      <c r="J102" s="445"/>
      <c r="K102" s="446">
        <v>23750.566666666666</v>
      </c>
      <c r="L102" s="446">
        <v>37715.266666666663</v>
      </c>
      <c r="M102" s="446">
        <v>3602.666666666667</v>
      </c>
      <c r="N102" s="445">
        <v>65068.499999999993</v>
      </c>
      <c r="O102" s="445"/>
      <c r="P102" s="446"/>
      <c r="Q102" s="446"/>
      <c r="R102" s="445"/>
      <c r="S102" s="604"/>
      <c r="T102" s="604"/>
      <c r="U102" s="604"/>
      <c r="V102" s="604"/>
      <c r="W102" s="604"/>
      <c r="X102" s="604"/>
      <c r="Y102" s="604"/>
      <c r="Z102" s="604"/>
      <c r="AA102" s="604"/>
      <c r="AB102" s="606"/>
    </row>
    <row r="103" spans="1:28" s="74" customFormat="1">
      <c r="A103" s="443"/>
      <c r="B103" s="447" t="s">
        <v>455</v>
      </c>
      <c r="C103" s="613">
        <v>6.3942619483492114E-2</v>
      </c>
      <c r="D103" s="614">
        <v>1.6261633476226365E-2</v>
      </c>
      <c r="E103" s="614">
        <v>0</v>
      </c>
      <c r="F103" s="614">
        <v>-1.9498546732646643E-2</v>
      </c>
      <c r="G103" s="614">
        <v>4.140092962922922E-2</v>
      </c>
      <c r="H103" s="614">
        <v>0</v>
      </c>
      <c r="I103" s="613">
        <v>3.3753436111143585E-2</v>
      </c>
      <c r="J103" s="613">
        <v>0</v>
      </c>
      <c r="K103" s="614">
        <v>0.11281400128692892</v>
      </c>
      <c r="L103" s="614">
        <v>0.10475820373220004</v>
      </c>
      <c r="M103" s="614">
        <v>0.15843855173744353</v>
      </c>
      <c r="N103" s="613">
        <v>0.11054188593372227</v>
      </c>
      <c r="O103" s="617">
        <v>0</v>
      </c>
      <c r="P103" s="614">
        <v>0</v>
      </c>
      <c r="Q103" s="614">
        <v>0</v>
      </c>
      <c r="R103" s="613">
        <v>0</v>
      </c>
      <c r="S103" s="615">
        <v>0</v>
      </c>
      <c r="T103" s="615">
        <v>0</v>
      </c>
      <c r="U103" s="615">
        <v>0</v>
      </c>
      <c r="V103" s="615">
        <v>0</v>
      </c>
      <c r="W103" s="615">
        <v>0</v>
      </c>
      <c r="X103" s="615">
        <v>0</v>
      </c>
      <c r="Y103" s="615">
        <v>0</v>
      </c>
      <c r="Z103" s="615">
        <v>0</v>
      </c>
      <c r="AA103" s="615">
        <v>0</v>
      </c>
      <c r="AB103" s="616">
        <v>0</v>
      </c>
    </row>
    <row r="104" spans="1:28" s="74" customFormat="1">
      <c r="A104" s="443"/>
      <c r="B104" s="444" t="s">
        <v>439</v>
      </c>
      <c r="C104" s="445">
        <v>0</v>
      </c>
      <c r="D104" s="446">
        <v>0</v>
      </c>
      <c r="E104" s="446"/>
      <c r="F104" s="446">
        <v>0</v>
      </c>
      <c r="G104" s="446">
        <v>0</v>
      </c>
      <c r="H104" s="446"/>
      <c r="I104" s="445">
        <v>0</v>
      </c>
      <c r="J104" s="445"/>
      <c r="K104" s="446">
        <v>0</v>
      </c>
      <c r="L104" s="446">
        <v>0</v>
      </c>
      <c r="M104" s="446">
        <v>0</v>
      </c>
      <c r="N104" s="445">
        <v>0</v>
      </c>
      <c r="O104" s="618"/>
      <c r="P104" s="446"/>
      <c r="Q104" s="446"/>
      <c r="R104" s="445"/>
      <c r="S104" s="604"/>
      <c r="T104" s="604"/>
      <c r="U104" s="604"/>
      <c r="V104" s="604"/>
      <c r="W104" s="604"/>
      <c r="X104" s="604"/>
      <c r="Y104" s="604"/>
      <c r="Z104" s="604"/>
      <c r="AA104" s="604"/>
      <c r="AB104" s="606"/>
    </row>
    <row r="105" spans="1:28" s="74" customFormat="1">
      <c r="A105" s="443"/>
      <c r="B105" s="444" t="s">
        <v>437</v>
      </c>
      <c r="C105" s="445">
        <v>0</v>
      </c>
      <c r="D105" s="446">
        <v>0</v>
      </c>
      <c r="E105" s="446"/>
      <c r="F105" s="446">
        <v>0</v>
      </c>
      <c r="G105" s="446">
        <v>0</v>
      </c>
      <c r="H105" s="446"/>
      <c r="I105" s="445">
        <v>0</v>
      </c>
      <c r="J105" s="445"/>
      <c r="K105" s="446">
        <v>0</v>
      </c>
      <c r="L105" s="446">
        <v>0</v>
      </c>
      <c r="M105" s="446">
        <v>0</v>
      </c>
      <c r="N105" s="445">
        <v>0</v>
      </c>
      <c r="O105" s="618"/>
      <c r="P105" s="446"/>
      <c r="Q105" s="446"/>
      <c r="R105" s="445"/>
      <c r="S105" s="604"/>
      <c r="T105" s="604"/>
      <c r="U105" s="604"/>
      <c r="V105" s="604"/>
      <c r="W105" s="604"/>
      <c r="X105" s="604"/>
      <c r="Y105" s="604"/>
      <c r="Z105" s="604"/>
      <c r="AA105" s="604"/>
      <c r="AB105" s="606"/>
    </row>
    <row r="106" spans="1:28" s="74" customFormat="1">
      <c r="A106" s="443"/>
      <c r="B106" s="447" t="s">
        <v>457</v>
      </c>
      <c r="C106" s="613">
        <v>0</v>
      </c>
      <c r="D106" s="614">
        <v>0</v>
      </c>
      <c r="E106" s="614">
        <v>0</v>
      </c>
      <c r="F106" s="614">
        <v>0</v>
      </c>
      <c r="G106" s="614">
        <v>0</v>
      </c>
      <c r="H106" s="614">
        <v>0</v>
      </c>
      <c r="I106" s="613">
        <v>0</v>
      </c>
      <c r="J106" s="613">
        <v>0</v>
      </c>
      <c r="K106" s="614">
        <v>0</v>
      </c>
      <c r="L106" s="614">
        <v>0</v>
      </c>
      <c r="M106" s="614">
        <v>0</v>
      </c>
      <c r="N106" s="613">
        <v>0</v>
      </c>
      <c r="O106" s="617">
        <v>0</v>
      </c>
      <c r="P106" s="614">
        <v>0</v>
      </c>
      <c r="Q106" s="614">
        <v>0</v>
      </c>
      <c r="R106" s="613">
        <v>0</v>
      </c>
      <c r="S106" s="615">
        <v>0</v>
      </c>
      <c r="T106" s="615">
        <v>0</v>
      </c>
      <c r="U106" s="615">
        <v>0</v>
      </c>
      <c r="V106" s="615">
        <v>0</v>
      </c>
      <c r="W106" s="615">
        <v>0</v>
      </c>
      <c r="X106" s="615">
        <v>0</v>
      </c>
      <c r="Y106" s="615">
        <v>0</v>
      </c>
      <c r="Z106" s="615">
        <v>0</v>
      </c>
      <c r="AA106" s="615">
        <v>0</v>
      </c>
      <c r="AB106" s="616">
        <v>0</v>
      </c>
    </row>
    <row r="107" spans="1:28" s="74" customFormat="1">
      <c r="A107" s="443"/>
      <c r="B107" s="444" t="s">
        <v>445</v>
      </c>
      <c r="C107" s="445">
        <v>4872.8333333333339</v>
      </c>
      <c r="D107" s="446">
        <v>3460.541666666667</v>
      </c>
      <c r="E107" s="446"/>
      <c r="F107" s="446">
        <v>1285.5416666666665</v>
      </c>
      <c r="G107" s="446">
        <v>128.95833333333334</v>
      </c>
      <c r="H107" s="446"/>
      <c r="I107" s="445">
        <v>9747.875</v>
      </c>
      <c r="J107" s="445"/>
      <c r="K107" s="446">
        <v>0</v>
      </c>
      <c r="L107" s="446">
        <v>0</v>
      </c>
      <c r="M107" s="446">
        <v>0</v>
      </c>
      <c r="N107" s="445">
        <v>0</v>
      </c>
      <c r="O107" s="618"/>
      <c r="P107" s="446"/>
      <c r="Q107" s="446"/>
      <c r="R107" s="445"/>
      <c r="S107" s="604"/>
      <c r="T107" s="604"/>
      <c r="U107" s="604"/>
      <c r="V107" s="604"/>
      <c r="W107" s="604"/>
      <c r="X107" s="604"/>
      <c r="Y107" s="604"/>
      <c r="Z107" s="604"/>
      <c r="AA107" s="604"/>
      <c r="AB107" s="606"/>
    </row>
    <row r="108" spans="1:28" s="74" customFormat="1">
      <c r="A108" s="443"/>
      <c r="B108" s="444" t="s">
        <v>447</v>
      </c>
      <c r="C108" s="445">
        <v>5075.0416666666661</v>
      </c>
      <c r="D108" s="446">
        <v>3486.0833333333335</v>
      </c>
      <c r="E108" s="446"/>
      <c r="F108" s="446">
        <v>1281.2083333333333</v>
      </c>
      <c r="G108" s="446">
        <v>183.875</v>
      </c>
      <c r="H108" s="446"/>
      <c r="I108" s="445">
        <v>10026.208333333334</v>
      </c>
      <c r="J108" s="445"/>
      <c r="K108" s="446">
        <v>0</v>
      </c>
      <c r="L108" s="446">
        <v>0</v>
      </c>
      <c r="M108" s="446">
        <v>0</v>
      </c>
      <c r="N108" s="445">
        <v>0</v>
      </c>
      <c r="O108" s="618"/>
      <c r="P108" s="446"/>
      <c r="Q108" s="446"/>
      <c r="R108" s="445"/>
      <c r="S108" s="604"/>
      <c r="T108" s="604"/>
      <c r="U108" s="604"/>
      <c r="V108" s="604"/>
      <c r="W108" s="604"/>
      <c r="X108" s="604"/>
      <c r="Y108" s="604"/>
      <c r="Z108" s="604"/>
      <c r="AA108" s="604"/>
      <c r="AB108" s="606"/>
    </row>
    <row r="109" spans="1:28" s="74" customFormat="1">
      <c r="A109" s="443"/>
      <c r="B109" s="447" t="s">
        <v>449</v>
      </c>
      <c r="C109" s="613">
        <v>4.1497075623353717E-2</v>
      </c>
      <c r="D109" s="614">
        <v>7.3808291091230459E-3</v>
      </c>
      <c r="E109" s="614">
        <v>0</v>
      </c>
      <c r="F109" s="614">
        <v>-3.3708229345606002E-3</v>
      </c>
      <c r="G109" s="614">
        <v>0.42584814216478178</v>
      </c>
      <c r="H109" s="614">
        <v>0</v>
      </c>
      <c r="I109" s="613">
        <v>2.8553231687248139E-2</v>
      </c>
      <c r="J109" s="613">
        <v>0</v>
      </c>
      <c r="K109" s="614">
        <v>0</v>
      </c>
      <c r="L109" s="614">
        <v>0</v>
      </c>
      <c r="M109" s="614">
        <v>0</v>
      </c>
      <c r="N109" s="613">
        <v>0</v>
      </c>
      <c r="O109" s="617">
        <v>0</v>
      </c>
      <c r="P109" s="614">
        <v>0</v>
      </c>
      <c r="Q109" s="614">
        <v>0</v>
      </c>
      <c r="R109" s="613">
        <v>0</v>
      </c>
      <c r="S109" s="615">
        <v>0</v>
      </c>
      <c r="T109" s="615">
        <v>0</v>
      </c>
      <c r="U109" s="615">
        <v>0</v>
      </c>
      <c r="V109" s="615">
        <v>0</v>
      </c>
      <c r="W109" s="615">
        <v>0</v>
      </c>
      <c r="X109" s="615">
        <v>0</v>
      </c>
      <c r="Y109" s="615">
        <v>0</v>
      </c>
      <c r="Z109" s="615">
        <v>0</v>
      </c>
      <c r="AA109" s="615">
        <v>0</v>
      </c>
      <c r="AB109" s="616">
        <v>0</v>
      </c>
    </row>
    <row r="110" spans="1:28" s="74" customFormat="1">
      <c r="A110" s="443"/>
      <c r="B110" s="444" t="s">
        <v>49</v>
      </c>
      <c r="C110" s="445">
        <v>28079.316666666666</v>
      </c>
      <c r="D110" s="446">
        <v>20963.908333333333</v>
      </c>
      <c r="E110" s="446"/>
      <c r="F110" s="446">
        <v>8957.9083333333328</v>
      </c>
      <c r="G110" s="446">
        <v>1979.1583333333333</v>
      </c>
      <c r="H110" s="446"/>
      <c r="I110" s="445">
        <v>59980.291666666664</v>
      </c>
      <c r="J110" s="445"/>
      <c r="K110" s="446">
        <v>21342.799999999999</v>
      </c>
      <c r="L110" s="446">
        <v>34138.933333333334</v>
      </c>
      <c r="M110" s="446">
        <v>3109.9333333333334</v>
      </c>
      <c r="N110" s="445">
        <v>58591.666666666672</v>
      </c>
      <c r="O110" s="618"/>
      <c r="P110" s="446"/>
      <c r="Q110" s="446"/>
      <c r="R110" s="445"/>
      <c r="S110" s="604"/>
      <c r="T110" s="604"/>
      <c r="U110" s="604"/>
      <c r="V110" s="604"/>
      <c r="W110" s="604"/>
      <c r="X110" s="604"/>
      <c r="Y110" s="604"/>
      <c r="Z110" s="604"/>
      <c r="AA110" s="604"/>
      <c r="AB110" s="606"/>
    </row>
    <row r="111" spans="1:28" s="74" customFormat="1">
      <c r="A111" s="443"/>
      <c r="B111" s="444" t="s">
        <v>451</v>
      </c>
      <c r="C111" s="445">
        <v>29765.408333333333</v>
      </c>
      <c r="D111" s="446">
        <v>21274.083333333332</v>
      </c>
      <c r="E111" s="446"/>
      <c r="F111" s="446">
        <v>8803.9750000000004</v>
      </c>
      <c r="G111" s="446">
        <v>2110.6750000000002</v>
      </c>
      <c r="H111" s="446"/>
      <c r="I111" s="445">
        <v>61954.14166666667</v>
      </c>
      <c r="J111" s="445"/>
      <c r="K111" s="446">
        <v>23750.566666666666</v>
      </c>
      <c r="L111" s="446">
        <v>37715.266666666663</v>
      </c>
      <c r="M111" s="446">
        <v>3602.666666666667</v>
      </c>
      <c r="N111" s="445">
        <v>65068.499999999993</v>
      </c>
      <c r="O111" s="618"/>
      <c r="P111" s="446"/>
      <c r="Q111" s="446"/>
      <c r="R111" s="445"/>
      <c r="S111" s="604"/>
      <c r="T111" s="604"/>
      <c r="U111" s="604"/>
      <c r="V111" s="604"/>
      <c r="W111" s="604"/>
      <c r="X111" s="604"/>
      <c r="Y111" s="604"/>
      <c r="Z111" s="604"/>
      <c r="AA111" s="604"/>
      <c r="AB111" s="606"/>
    </row>
    <row r="112" spans="1:28" s="74" customFormat="1">
      <c r="A112" s="443"/>
      <c r="B112" s="447" t="s">
        <v>453</v>
      </c>
      <c r="C112" s="613">
        <v>6.0047460794095793E-2</v>
      </c>
      <c r="D112" s="614">
        <v>1.479566667951941E-2</v>
      </c>
      <c r="E112" s="614">
        <v>0</v>
      </c>
      <c r="F112" s="614">
        <v>-1.7184071058254764E-2</v>
      </c>
      <c r="G112" s="614">
        <v>6.6450806108657404E-2</v>
      </c>
      <c r="H112" s="614">
        <v>0</v>
      </c>
      <c r="I112" s="613">
        <v>3.2908309465539944E-2</v>
      </c>
      <c r="J112" s="613">
        <v>0</v>
      </c>
      <c r="K112" s="614">
        <v>0.11281400128692892</v>
      </c>
      <c r="L112" s="614">
        <v>0.10475820373220004</v>
      </c>
      <c r="M112" s="614">
        <v>0.15843855173744353</v>
      </c>
      <c r="N112" s="613">
        <v>0.11054188593372227</v>
      </c>
      <c r="O112" s="619">
        <v>0</v>
      </c>
      <c r="P112" s="614">
        <v>0</v>
      </c>
      <c r="Q112" s="614">
        <v>0</v>
      </c>
      <c r="R112" s="613">
        <v>0</v>
      </c>
      <c r="S112" s="615">
        <v>0</v>
      </c>
      <c r="T112" s="615">
        <v>0</v>
      </c>
      <c r="U112" s="615">
        <v>0</v>
      </c>
      <c r="V112" s="615">
        <v>0</v>
      </c>
      <c r="W112" s="615">
        <v>0</v>
      </c>
      <c r="X112" s="615">
        <v>0</v>
      </c>
      <c r="Y112" s="615">
        <v>0</v>
      </c>
      <c r="Z112" s="615">
        <v>0</v>
      </c>
      <c r="AA112" s="615">
        <v>0</v>
      </c>
      <c r="AB112" s="616">
        <v>0</v>
      </c>
    </row>
    <row r="113" spans="1:28" s="74" customFormat="1">
      <c r="A113" s="442" t="s">
        <v>532</v>
      </c>
      <c r="B113" s="440" t="s">
        <v>443</v>
      </c>
      <c r="C113" s="437">
        <v>39711.600000000006</v>
      </c>
      <c r="D113" s="441">
        <v>29717.433333333334</v>
      </c>
      <c r="E113" s="441">
        <v>65582.566666666666</v>
      </c>
      <c r="F113" s="441">
        <v>5580.333333333333</v>
      </c>
      <c r="G113" s="441">
        <v>10490.833333333334</v>
      </c>
      <c r="H113" s="441">
        <v>6071.4</v>
      </c>
      <c r="I113" s="437">
        <v>157154.16666666669</v>
      </c>
      <c r="J113" s="437"/>
      <c r="K113" s="441">
        <v>105422</v>
      </c>
      <c r="L113" s="441">
        <v>107798</v>
      </c>
      <c r="M113" s="441">
        <v>18517</v>
      </c>
      <c r="N113" s="437">
        <v>231737</v>
      </c>
      <c r="O113" s="437"/>
      <c r="P113" s="441"/>
      <c r="Q113" s="441"/>
      <c r="R113" s="437"/>
      <c r="S113" s="603"/>
      <c r="T113" s="603"/>
      <c r="U113" s="603"/>
      <c r="V113" s="603"/>
      <c r="W113" s="603"/>
      <c r="X113" s="603"/>
      <c r="Y113" s="603"/>
      <c r="Z113" s="603"/>
      <c r="AA113" s="603"/>
      <c r="AB113" s="605"/>
    </row>
    <row r="114" spans="1:28" s="74" customFormat="1">
      <c r="A114" s="443"/>
      <c r="B114" s="444" t="s">
        <v>441</v>
      </c>
      <c r="C114" s="445">
        <v>40857.100000000006</v>
      </c>
      <c r="D114" s="446">
        <v>31276.466666666667</v>
      </c>
      <c r="E114" s="446">
        <v>67016.166666666672</v>
      </c>
      <c r="F114" s="446">
        <v>5170.4666666666662</v>
      </c>
      <c r="G114" s="446">
        <v>11157.466666666667</v>
      </c>
      <c r="H114" s="446">
        <v>6464.5666666666666</v>
      </c>
      <c r="I114" s="445">
        <v>161942.23333333337</v>
      </c>
      <c r="J114" s="445"/>
      <c r="K114" s="446">
        <v>117690</v>
      </c>
      <c r="L114" s="446">
        <v>121311</v>
      </c>
      <c r="M114" s="446">
        <v>20866</v>
      </c>
      <c r="N114" s="445">
        <v>259867</v>
      </c>
      <c r="O114" s="445"/>
      <c r="P114" s="446"/>
      <c r="Q114" s="446"/>
      <c r="R114" s="445"/>
      <c r="S114" s="604"/>
      <c r="T114" s="604"/>
      <c r="U114" s="604"/>
      <c r="V114" s="604"/>
      <c r="W114" s="604"/>
      <c r="X114" s="604"/>
      <c r="Y114" s="604"/>
      <c r="Z114" s="604"/>
      <c r="AA114" s="604"/>
      <c r="AB114" s="606"/>
    </row>
    <row r="115" spans="1:28" s="74" customFormat="1">
      <c r="A115" s="443"/>
      <c r="B115" s="447" t="s">
        <v>455</v>
      </c>
      <c r="C115" s="613">
        <v>2.8845475881102745E-2</v>
      </c>
      <c r="D115" s="614">
        <v>5.2461910685422566E-2</v>
      </c>
      <c r="E115" s="614">
        <v>2.1859467734565728E-2</v>
      </c>
      <c r="F115" s="614">
        <v>-7.344842004659223E-2</v>
      </c>
      <c r="G115" s="614">
        <v>6.3544364127412808E-2</v>
      </c>
      <c r="H115" s="614">
        <v>6.4757167484709791E-2</v>
      </c>
      <c r="I115" s="613">
        <v>3.0467322427552453E-2</v>
      </c>
      <c r="J115" s="613">
        <v>0</v>
      </c>
      <c r="K115" s="614">
        <v>0.11637039707082013</v>
      </c>
      <c r="L115" s="614">
        <v>0.12535483033080391</v>
      </c>
      <c r="M115" s="614">
        <v>0.12685640222498246</v>
      </c>
      <c r="N115" s="613">
        <v>0.12138760750333352</v>
      </c>
      <c r="O115" s="617">
        <v>0</v>
      </c>
      <c r="P115" s="614">
        <v>0</v>
      </c>
      <c r="Q115" s="614">
        <v>0</v>
      </c>
      <c r="R115" s="613">
        <v>0</v>
      </c>
      <c r="S115" s="615">
        <v>0</v>
      </c>
      <c r="T115" s="615">
        <v>0</v>
      </c>
      <c r="U115" s="615">
        <v>0</v>
      </c>
      <c r="V115" s="615">
        <v>0</v>
      </c>
      <c r="W115" s="615">
        <v>0</v>
      </c>
      <c r="X115" s="615">
        <v>0</v>
      </c>
      <c r="Y115" s="615">
        <v>0</v>
      </c>
      <c r="Z115" s="615">
        <v>0</v>
      </c>
      <c r="AA115" s="615">
        <v>0</v>
      </c>
      <c r="AB115" s="616">
        <v>0</v>
      </c>
    </row>
    <row r="116" spans="1:28" s="74" customFormat="1">
      <c r="A116" s="443"/>
      <c r="B116" s="444" t="s">
        <v>439</v>
      </c>
      <c r="C116" s="445">
        <v>0</v>
      </c>
      <c r="D116" s="446">
        <v>0</v>
      </c>
      <c r="E116" s="446">
        <v>0</v>
      </c>
      <c r="F116" s="446">
        <v>0</v>
      </c>
      <c r="G116" s="446">
        <v>0</v>
      </c>
      <c r="H116" s="446">
        <v>0</v>
      </c>
      <c r="I116" s="445">
        <v>0</v>
      </c>
      <c r="J116" s="445"/>
      <c r="K116" s="446">
        <v>0</v>
      </c>
      <c r="L116" s="446">
        <v>0</v>
      </c>
      <c r="M116" s="446">
        <v>0</v>
      </c>
      <c r="N116" s="445">
        <v>0</v>
      </c>
      <c r="O116" s="618"/>
      <c r="P116" s="446"/>
      <c r="Q116" s="446"/>
      <c r="R116" s="445"/>
      <c r="S116" s="604"/>
      <c r="T116" s="604"/>
      <c r="U116" s="604"/>
      <c r="V116" s="604"/>
      <c r="W116" s="604"/>
      <c r="X116" s="604"/>
      <c r="Y116" s="604"/>
      <c r="Z116" s="604"/>
      <c r="AA116" s="604"/>
      <c r="AB116" s="606"/>
    </row>
    <row r="117" spans="1:28" s="74" customFormat="1">
      <c r="A117" s="443"/>
      <c r="B117" s="444" t="s">
        <v>437</v>
      </c>
      <c r="C117" s="445">
        <v>0</v>
      </c>
      <c r="D117" s="446">
        <v>0</v>
      </c>
      <c r="E117" s="446">
        <v>0</v>
      </c>
      <c r="F117" s="446">
        <v>0</v>
      </c>
      <c r="G117" s="446">
        <v>0</v>
      </c>
      <c r="H117" s="446">
        <v>0</v>
      </c>
      <c r="I117" s="445">
        <v>0</v>
      </c>
      <c r="J117" s="445"/>
      <c r="K117" s="446">
        <v>0</v>
      </c>
      <c r="L117" s="446">
        <v>0</v>
      </c>
      <c r="M117" s="446">
        <v>0</v>
      </c>
      <c r="N117" s="445">
        <v>0</v>
      </c>
      <c r="O117" s="618"/>
      <c r="P117" s="446"/>
      <c r="Q117" s="446"/>
      <c r="R117" s="445"/>
      <c r="S117" s="604"/>
      <c r="T117" s="604"/>
      <c r="U117" s="604"/>
      <c r="V117" s="604"/>
      <c r="W117" s="604"/>
      <c r="X117" s="604"/>
      <c r="Y117" s="604"/>
      <c r="Z117" s="604"/>
      <c r="AA117" s="604"/>
      <c r="AB117" s="606"/>
    </row>
    <row r="118" spans="1:28" s="74" customFormat="1">
      <c r="A118" s="443"/>
      <c r="B118" s="447" t="s">
        <v>457</v>
      </c>
      <c r="C118" s="613">
        <v>0</v>
      </c>
      <c r="D118" s="614">
        <v>0</v>
      </c>
      <c r="E118" s="614">
        <v>0</v>
      </c>
      <c r="F118" s="614">
        <v>0</v>
      </c>
      <c r="G118" s="614">
        <v>0</v>
      </c>
      <c r="H118" s="614">
        <v>0</v>
      </c>
      <c r="I118" s="613">
        <v>0</v>
      </c>
      <c r="J118" s="613">
        <v>0</v>
      </c>
      <c r="K118" s="614">
        <v>0</v>
      </c>
      <c r="L118" s="614">
        <v>0</v>
      </c>
      <c r="M118" s="614">
        <v>0</v>
      </c>
      <c r="N118" s="613">
        <v>0</v>
      </c>
      <c r="O118" s="617">
        <v>0</v>
      </c>
      <c r="P118" s="614">
        <v>0</v>
      </c>
      <c r="Q118" s="614">
        <v>0</v>
      </c>
      <c r="R118" s="613">
        <v>0</v>
      </c>
      <c r="S118" s="615">
        <v>0</v>
      </c>
      <c r="T118" s="615">
        <v>0</v>
      </c>
      <c r="U118" s="615">
        <v>0</v>
      </c>
      <c r="V118" s="615">
        <v>0</v>
      </c>
      <c r="W118" s="615">
        <v>0</v>
      </c>
      <c r="X118" s="615">
        <v>0</v>
      </c>
      <c r="Y118" s="615">
        <v>0</v>
      </c>
      <c r="Z118" s="615">
        <v>0</v>
      </c>
      <c r="AA118" s="615">
        <v>0</v>
      </c>
      <c r="AB118" s="616">
        <v>0</v>
      </c>
    </row>
    <row r="119" spans="1:28" s="74" customFormat="1">
      <c r="A119" s="443"/>
      <c r="B119" s="444" t="s">
        <v>445</v>
      </c>
      <c r="C119" s="445">
        <v>12652.666666666666</v>
      </c>
      <c r="D119" s="446">
        <v>5739.625</v>
      </c>
      <c r="E119" s="446">
        <v>10840.833333333334</v>
      </c>
      <c r="F119" s="446">
        <v>471.41666666666669</v>
      </c>
      <c r="G119" s="446">
        <v>796.08333333333326</v>
      </c>
      <c r="H119" s="446">
        <v>48.791666666666671</v>
      </c>
      <c r="I119" s="445">
        <v>30549.416666666668</v>
      </c>
      <c r="J119" s="445"/>
      <c r="K119" s="446">
        <v>0</v>
      </c>
      <c r="L119" s="446">
        <v>0</v>
      </c>
      <c r="M119" s="446">
        <v>0</v>
      </c>
      <c r="N119" s="445">
        <v>0</v>
      </c>
      <c r="O119" s="618"/>
      <c r="P119" s="446"/>
      <c r="Q119" s="446"/>
      <c r="R119" s="445"/>
      <c r="S119" s="604"/>
      <c r="T119" s="604"/>
      <c r="U119" s="604"/>
      <c r="V119" s="604"/>
      <c r="W119" s="604"/>
      <c r="X119" s="604"/>
      <c r="Y119" s="604"/>
      <c r="Z119" s="604"/>
      <c r="AA119" s="604"/>
      <c r="AB119" s="606"/>
    </row>
    <row r="120" spans="1:28" s="74" customFormat="1">
      <c r="A120" s="443"/>
      <c r="B120" s="444" t="s">
        <v>447</v>
      </c>
      <c r="C120" s="445">
        <v>13131.375</v>
      </c>
      <c r="D120" s="446">
        <v>5919.1666666666661</v>
      </c>
      <c r="E120" s="446">
        <v>11414.875</v>
      </c>
      <c r="F120" s="446">
        <v>377.33333333333331</v>
      </c>
      <c r="G120" s="446">
        <v>877.45833333333337</v>
      </c>
      <c r="H120" s="446">
        <v>56.916666666666671</v>
      </c>
      <c r="I120" s="445">
        <v>31777.124999999996</v>
      </c>
      <c r="J120" s="445"/>
      <c r="K120" s="446">
        <v>0</v>
      </c>
      <c r="L120" s="446">
        <v>0</v>
      </c>
      <c r="M120" s="446">
        <v>0</v>
      </c>
      <c r="N120" s="445">
        <v>0</v>
      </c>
      <c r="O120" s="618"/>
      <c r="P120" s="446"/>
      <c r="Q120" s="446"/>
      <c r="R120" s="445"/>
      <c r="S120" s="604"/>
      <c r="T120" s="604"/>
      <c r="U120" s="604"/>
      <c r="V120" s="604"/>
      <c r="W120" s="604"/>
      <c r="X120" s="604"/>
      <c r="Y120" s="604"/>
      <c r="Z120" s="604"/>
      <c r="AA120" s="604"/>
      <c r="AB120" s="606"/>
    </row>
    <row r="121" spans="1:28" s="74" customFormat="1">
      <c r="A121" s="443"/>
      <c r="B121" s="447" t="s">
        <v>449</v>
      </c>
      <c r="C121" s="613">
        <v>3.7834580325623104E-2</v>
      </c>
      <c r="D121" s="614">
        <v>3.1281079629185887E-2</v>
      </c>
      <c r="E121" s="614">
        <v>5.2951802598201189E-2</v>
      </c>
      <c r="F121" s="614">
        <v>-0.19957574686229457</v>
      </c>
      <c r="G121" s="614">
        <v>0.10221919815764696</v>
      </c>
      <c r="H121" s="614">
        <v>0.16652433817250212</v>
      </c>
      <c r="I121" s="613">
        <v>4.0187619512647869E-2</v>
      </c>
      <c r="J121" s="613">
        <v>0</v>
      </c>
      <c r="K121" s="614">
        <v>0</v>
      </c>
      <c r="L121" s="614">
        <v>0</v>
      </c>
      <c r="M121" s="614">
        <v>0</v>
      </c>
      <c r="N121" s="613">
        <v>0</v>
      </c>
      <c r="O121" s="617">
        <v>0</v>
      </c>
      <c r="P121" s="614">
        <v>0</v>
      </c>
      <c r="Q121" s="614">
        <v>0</v>
      </c>
      <c r="R121" s="613">
        <v>0</v>
      </c>
      <c r="S121" s="615">
        <v>0</v>
      </c>
      <c r="T121" s="615">
        <v>0</v>
      </c>
      <c r="U121" s="615">
        <v>0</v>
      </c>
      <c r="V121" s="615">
        <v>0</v>
      </c>
      <c r="W121" s="615">
        <v>0</v>
      </c>
      <c r="X121" s="615">
        <v>0</v>
      </c>
      <c r="Y121" s="615">
        <v>0</v>
      </c>
      <c r="Z121" s="615">
        <v>0</v>
      </c>
      <c r="AA121" s="615">
        <v>0</v>
      </c>
      <c r="AB121" s="616">
        <v>0</v>
      </c>
    </row>
    <row r="122" spans="1:28" s="74" customFormat="1">
      <c r="A122" s="443"/>
      <c r="B122" s="444" t="s">
        <v>49</v>
      </c>
      <c r="C122" s="445">
        <v>52364.266666666663</v>
      </c>
      <c r="D122" s="446">
        <v>35457.058333333334</v>
      </c>
      <c r="E122" s="446">
        <v>76423.399999999994</v>
      </c>
      <c r="F122" s="446">
        <v>6051.75</v>
      </c>
      <c r="G122" s="446">
        <v>11286.916666666668</v>
      </c>
      <c r="H122" s="446">
        <v>6120.1916666666666</v>
      </c>
      <c r="I122" s="445">
        <v>187703.58333333331</v>
      </c>
      <c r="J122" s="445"/>
      <c r="K122" s="446">
        <v>105422</v>
      </c>
      <c r="L122" s="446">
        <v>107798</v>
      </c>
      <c r="M122" s="446">
        <v>18517</v>
      </c>
      <c r="N122" s="445">
        <v>231737</v>
      </c>
      <c r="O122" s="618"/>
      <c r="P122" s="446"/>
      <c r="Q122" s="446"/>
      <c r="R122" s="445"/>
      <c r="S122" s="604"/>
      <c r="T122" s="604"/>
      <c r="U122" s="604"/>
      <c r="V122" s="604"/>
      <c r="W122" s="604"/>
      <c r="X122" s="604"/>
      <c r="Y122" s="604"/>
      <c r="Z122" s="604"/>
      <c r="AA122" s="604"/>
      <c r="AB122" s="606"/>
    </row>
    <row r="123" spans="1:28" s="74" customFormat="1">
      <c r="A123" s="443"/>
      <c r="B123" s="444" t="s">
        <v>451</v>
      </c>
      <c r="C123" s="445">
        <v>53988.475000000006</v>
      </c>
      <c r="D123" s="446">
        <v>37195.633333333331</v>
      </c>
      <c r="E123" s="446">
        <v>78431.041666666657</v>
      </c>
      <c r="F123" s="446">
        <v>5547.7999999999993</v>
      </c>
      <c r="G123" s="446">
        <v>12034.924999999999</v>
      </c>
      <c r="H123" s="446">
        <v>6521.4833333333336</v>
      </c>
      <c r="I123" s="445">
        <v>193719.35833333331</v>
      </c>
      <c r="J123" s="445"/>
      <c r="K123" s="446">
        <v>117690</v>
      </c>
      <c r="L123" s="446">
        <v>121311</v>
      </c>
      <c r="M123" s="446">
        <v>20866</v>
      </c>
      <c r="N123" s="445">
        <v>259867</v>
      </c>
      <c r="O123" s="618"/>
      <c r="P123" s="446"/>
      <c r="Q123" s="446"/>
      <c r="R123" s="445"/>
      <c r="S123" s="604"/>
      <c r="T123" s="604"/>
      <c r="U123" s="604"/>
      <c r="V123" s="604"/>
      <c r="W123" s="604"/>
      <c r="X123" s="604"/>
      <c r="Y123" s="604"/>
      <c r="Z123" s="604"/>
      <c r="AA123" s="604"/>
      <c r="AB123" s="606"/>
    </row>
    <row r="124" spans="1:28" s="74" customFormat="1">
      <c r="A124" s="443"/>
      <c r="B124" s="447" t="s">
        <v>453</v>
      </c>
      <c r="C124" s="613">
        <v>3.1017494118126543E-2</v>
      </c>
      <c r="D124" s="614">
        <v>4.9033255484862238E-2</v>
      </c>
      <c r="E124" s="614">
        <v>2.6269986243305884E-2</v>
      </c>
      <c r="F124" s="614">
        <v>-8.3273433304416195E-2</v>
      </c>
      <c r="G124" s="614">
        <v>6.6272158767894801E-2</v>
      </c>
      <c r="H124" s="614">
        <v>6.5568480289969186E-2</v>
      </c>
      <c r="I124" s="613">
        <v>3.2049334877730665E-2</v>
      </c>
      <c r="J124" s="613">
        <v>0</v>
      </c>
      <c r="K124" s="614">
        <v>0.11637039707082013</v>
      </c>
      <c r="L124" s="614">
        <v>0.12535483033080391</v>
      </c>
      <c r="M124" s="614">
        <v>0.12685640222498246</v>
      </c>
      <c r="N124" s="613">
        <v>0.12138760750333352</v>
      </c>
      <c r="O124" s="619">
        <v>0</v>
      </c>
      <c r="P124" s="614">
        <v>0</v>
      </c>
      <c r="Q124" s="614">
        <v>0</v>
      </c>
      <c r="R124" s="613">
        <v>0</v>
      </c>
      <c r="S124" s="615">
        <v>0</v>
      </c>
      <c r="T124" s="615">
        <v>0</v>
      </c>
      <c r="U124" s="615">
        <v>0</v>
      </c>
      <c r="V124" s="615">
        <v>0</v>
      </c>
      <c r="W124" s="615">
        <v>0</v>
      </c>
      <c r="X124" s="615">
        <v>0</v>
      </c>
      <c r="Y124" s="615">
        <v>0</v>
      </c>
      <c r="Z124" s="615">
        <v>0</v>
      </c>
      <c r="AA124" s="615">
        <v>0</v>
      </c>
      <c r="AB124" s="616">
        <v>0</v>
      </c>
    </row>
    <row r="125" spans="1:28" s="74" customFormat="1">
      <c r="A125" s="442" t="s">
        <v>659</v>
      </c>
      <c r="B125" s="440" t="s">
        <v>443</v>
      </c>
      <c r="C125" s="437">
        <v>35448.300000000003</v>
      </c>
      <c r="D125" s="441"/>
      <c r="E125" s="441">
        <v>16879.2</v>
      </c>
      <c r="F125" s="441"/>
      <c r="G125" s="441">
        <v>17622.233333333334</v>
      </c>
      <c r="H125" s="441">
        <v>4970.333333333333</v>
      </c>
      <c r="I125" s="437">
        <v>74920.066666666666</v>
      </c>
      <c r="J125" s="437">
        <v>2935.6</v>
      </c>
      <c r="K125" s="441">
        <v>19308.033333333333</v>
      </c>
      <c r="L125" s="441">
        <v>11911.066666666666</v>
      </c>
      <c r="M125" s="441">
        <v>12074.1</v>
      </c>
      <c r="N125" s="437">
        <v>46228.799999999996</v>
      </c>
      <c r="O125" s="437">
        <v>0</v>
      </c>
      <c r="P125" s="441">
        <v>0</v>
      </c>
      <c r="Q125" s="441">
        <v>0</v>
      </c>
      <c r="R125" s="437">
        <v>0</v>
      </c>
      <c r="S125" s="603"/>
      <c r="T125" s="603"/>
      <c r="U125" s="603"/>
      <c r="V125" s="603"/>
      <c r="W125" s="603"/>
      <c r="X125" s="603"/>
      <c r="Y125" s="603"/>
      <c r="Z125" s="603"/>
      <c r="AA125" s="603"/>
      <c r="AB125" s="605"/>
    </row>
    <row r="126" spans="1:28" s="74" customFormat="1">
      <c r="A126" s="443"/>
      <c r="B126" s="444" t="s">
        <v>441</v>
      </c>
      <c r="C126" s="445">
        <v>35328.333333333328</v>
      </c>
      <c r="D126" s="446"/>
      <c r="E126" s="446">
        <v>17408.7</v>
      </c>
      <c r="F126" s="446"/>
      <c r="G126" s="446">
        <v>18303.733333333334</v>
      </c>
      <c r="H126" s="446">
        <v>5225.3999999999996</v>
      </c>
      <c r="I126" s="445">
        <v>76266.166666666657</v>
      </c>
      <c r="J126" s="445">
        <v>3285.2</v>
      </c>
      <c r="K126" s="446">
        <v>21310.9</v>
      </c>
      <c r="L126" s="446">
        <v>12911.733333333334</v>
      </c>
      <c r="M126" s="446">
        <v>13226.1</v>
      </c>
      <c r="N126" s="445">
        <v>50733.933333333334</v>
      </c>
      <c r="O126" s="445">
        <v>0</v>
      </c>
      <c r="P126" s="446">
        <v>0</v>
      </c>
      <c r="Q126" s="446">
        <v>0</v>
      </c>
      <c r="R126" s="445">
        <v>0</v>
      </c>
      <c r="S126" s="604"/>
      <c r="T126" s="604"/>
      <c r="U126" s="604"/>
      <c r="V126" s="604"/>
      <c r="W126" s="604"/>
      <c r="X126" s="604"/>
      <c r="Y126" s="604"/>
      <c r="Z126" s="604"/>
      <c r="AA126" s="604"/>
      <c r="AB126" s="606"/>
    </row>
    <row r="127" spans="1:28" s="74" customFormat="1">
      <c r="A127" s="443"/>
      <c r="B127" s="447" t="s">
        <v>455</v>
      </c>
      <c r="C127" s="613">
        <v>-3.3842713660929978E-3</v>
      </c>
      <c r="D127" s="614">
        <v>0</v>
      </c>
      <c r="E127" s="614">
        <v>3.1369970140764966E-2</v>
      </c>
      <c r="F127" s="614">
        <v>0</v>
      </c>
      <c r="G127" s="614">
        <v>3.8672737280745724E-2</v>
      </c>
      <c r="H127" s="614">
        <v>5.1317819059754535E-2</v>
      </c>
      <c r="I127" s="613">
        <v>1.7967148988121049E-2</v>
      </c>
      <c r="J127" s="613">
        <v>0.11908979424989778</v>
      </c>
      <c r="K127" s="614">
        <v>0.10373229795542799</v>
      </c>
      <c r="L127" s="614">
        <v>8.4011507505625124E-2</v>
      </c>
      <c r="M127" s="614">
        <v>9.5410838074887566E-2</v>
      </c>
      <c r="N127" s="613">
        <v>9.745295861742749E-2</v>
      </c>
      <c r="O127" s="617">
        <v>0</v>
      </c>
      <c r="P127" s="614">
        <v>0</v>
      </c>
      <c r="Q127" s="614">
        <v>0</v>
      </c>
      <c r="R127" s="613">
        <v>0</v>
      </c>
      <c r="S127" s="615">
        <v>0</v>
      </c>
      <c r="T127" s="615">
        <v>0</v>
      </c>
      <c r="U127" s="615">
        <v>0</v>
      </c>
      <c r="V127" s="615">
        <v>0</v>
      </c>
      <c r="W127" s="615">
        <v>0</v>
      </c>
      <c r="X127" s="615">
        <v>0</v>
      </c>
      <c r="Y127" s="615">
        <v>0</v>
      </c>
      <c r="Z127" s="615">
        <v>0</v>
      </c>
      <c r="AA127" s="615">
        <v>0</v>
      </c>
      <c r="AB127" s="616">
        <v>0</v>
      </c>
    </row>
    <row r="128" spans="1:28" s="74" customFormat="1">
      <c r="A128" s="443"/>
      <c r="B128" s="444" t="s">
        <v>439</v>
      </c>
      <c r="C128" s="445">
        <v>0</v>
      </c>
      <c r="D128" s="446"/>
      <c r="E128" s="446">
        <v>0</v>
      </c>
      <c r="F128" s="446"/>
      <c r="G128" s="446">
        <v>0</v>
      </c>
      <c r="H128" s="446">
        <v>0</v>
      </c>
      <c r="I128" s="445">
        <v>0</v>
      </c>
      <c r="J128" s="445">
        <v>0</v>
      </c>
      <c r="K128" s="446">
        <v>0</v>
      </c>
      <c r="L128" s="446">
        <v>0</v>
      </c>
      <c r="M128" s="446">
        <v>0</v>
      </c>
      <c r="N128" s="445">
        <v>0</v>
      </c>
      <c r="O128" s="618">
        <v>6795.3086222222237</v>
      </c>
      <c r="P128" s="446">
        <v>20184.214066666664</v>
      </c>
      <c r="Q128" s="446">
        <v>0</v>
      </c>
      <c r="R128" s="445">
        <v>26979.522688888886</v>
      </c>
      <c r="S128" s="604"/>
      <c r="T128" s="604"/>
      <c r="U128" s="604"/>
      <c r="V128" s="604"/>
      <c r="W128" s="604"/>
      <c r="X128" s="604"/>
      <c r="Y128" s="604"/>
      <c r="Z128" s="604"/>
      <c r="AA128" s="604"/>
      <c r="AB128" s="606"/>
    </row>
    <row r="129" spans="1:28" s="74" customFormat="1">
      <c r="A129" s="443"/>
      <c r="B129" s="444" t="s">
        <v>437</v>
      </c>
      <c r="C129" s="445">
        <v>0</v>
      </c>
      <c r="D129" s="446"/>
      <c r="E129" s="446">
        <v>0</v>
      </c>
      <c r="F129" s="446"/>
      <c r="G129" s="446">
        <v>0</v>
      </c>
      <c r="H129" s="446">
        <v>0</v>
      </c>
      <c r="I129" s="445">
        <v>0</v>
      </c>
      <c r="J129" s="445">
        <v>0</v>
      </c>
      <c r="K129" s="446">
        <v>0</v>
      </c>
      <c r="L129" s="446">
        <v>0</v>
      </c>
      <c r="M129" s="446">
        <v>0</v>
      </c>
      <c r="N129" s="445">
        <v>0</v>
      </c>
      <c r="O129" s="618">
        <v>6009.1622222222222</v>
      </c>
      <c r="P129" s="446">
        <v>19708.937611111109</v>
      </c>
      <c r="Q129" s="446">
        <v>0</v>
      </c>
      <c r="R129" s="445">
        <v>25718.09983333333</v>
      </c>
      <c r="S129" s="604"/>
      <c r="T129" s="604"/>
      <c r="U129" s="604"/>
      <c r="V129" s="604"/>
      <c r="W129" s="604"/>
      <c r="X129" s="604"/>
      <c r="Y129" s="604"/>
      <c r="Z129" s="604"/>
      <c r="AA129" s="604"/>
      <c r="AB129" s="606"/>
    </row>
    <row r="130" spans="1:28" s="74" customFormat="1">
      <c r="A130" s="443"/>
      <c r="B130" s="447" t="s">
        <v>457</v>
      </c>
      <c r="C130" s="613">
        <v>0</v>
      </c>
      <c r="D130" s="614">
        <v>0</v>
      </c>
      <c r="E130" s="614">
        <v>0</v>
      </c>
      <c r="F130" s="614">
        <v>0</v>
      </c>
      <c r="G130" s="614">
        <v>0</v>
      </c>
      <c r="H130" s="614">
        <v>0</v>
      </c>
      <c r="I130" s="613">
        <v>0</v>
      </c>
      <c r="J130" s="613">
        <v>0</v>
      </c>
      <c r="K130" s="614">
        <v>0</v>
      </c>
      <c r="L130" s="614">
        <v>0</v>
      </c>
      <c r="M130" s="614">
        <v>0</v>
      </c>
      <c r="N130" s="613">
        <v>0</v>
      </c>
      <c r="O130" s="617">
        <v>-0.11568957993005966</v>
      </c>
      <c r="P130" s="614">
        <v>-2.3546938909078111E-2</v>
      </c>
      <c r="Q130" s="614">
        <v>0</v>
      </c>
      <c r="R130" s="613">
        <v>-4.675482476474864E-2</v>
      </c>
      <c r="S130" s="615">
        <v>0</v>
      </c>
      <c r="T130" s="615">
        <v>0</v>
      </c>
      <c r="U130" s="615">
        <v>0</v>
      </c>
      <c r="V130" s="615">
        <v>0</v>
      </c>
      <c r="W130" s="615">
        <v>0</v>
      </c>
      <c r="X130" s="615">
        <v>0</v>
      </c>
      <c r="Y130" s="615">
        <v>0</v>
      </c>
      <c r="Z130" s="615">
        <v>0</v>
      </c>
      <c r="AA130" s="615">
        <v>0</v>
      </c>
      <c r="AB130" s="616">
        <v>0</v>
      </c>
    </row>
    <row r="131" spans="1:28" s="74" customFormat="1">
      <c r="A131" s="443"/>
      <c r="B131" s="444" t="s">
        <v>445</v>
      </c>
      <c r="C131" s="445">
        <v>7581</v>
      </c>
      <c r="D131" s="446"/>
      <c r="E131" s="446">
        <v>1598.0416666666665</v>
      </c>
      <c r="F131" s="446"/>
      <c r="G131" s="446">
        <v>1892.5</v>
      </c>
      <c r="H131" s="446">
        <v>0</v>
      </c>
      <c r="I131" s="445">
        <v>11071.541666666666</v>
      </c>
      <c r="J131" s="445">
        <v>0</v>
      </c>
      <c r="K131" s="446">
        <v>0</v>
      </c>
      <c r="L131" s="446">
        <v>0</v>
      </c>
      <c r="M131" s="446">
        <v>0</v>
      </c>
      <c r="N131" s="445">
        <v>0</v>
      </c>
      <c r="O131" s="618">
        <v>0</v>
      </c>
      <c r="P131" s="446">
        <v>0</v>
      </c>
      <c r="Q131" s="446">
        <v>0</v>
      </c>
      <c r="R131" s="445">
        <v>0</v>
      </c>
      <c r="S131" s="604"/>
      <c r="T131" s="604"/>
      <c r="U131" s="604"/>
      <c r="V131" s="604"/>
      <c r="W131" s="604"/>
      <c r="X131" s="604"/>
      <c r="Y131" s="604"/>
      <c r="Z131" s="604"/>
      <c r="AA131" s="604"/>
      <c r="AB131" s="606"/>
    </row>
    <row r="132" spans="1:28" s="74" customFormat="1">
      <c r="A132" s="443"/>
      <c r="B132" s="444" t="s">
        <v>447</v>
      </c>
      <c r="C132" s="445">
        <v>7818.75</v>
      </c>
      <c r="D132" s="446"/>
      <c r="E132" s="446">
        <v>1837.2916666666665</v>
      </c>
      <c r="F132" s="446"/>
      <c r="G132" s="446">
        <v>1950.5416666666665</v>
      </c>
      <c r="H132" s="446">
        <v>0</v>
      </c>
      <c r="I132" s="445">
        <v>11606.583333333332</v>
      </c>
      <c r="J132" s="445">
        <v>0</v>
      </c>
      <c r="K132" s="446">
        <v>0</v>
      </c>
      <c r="L132" s="446">
        <v>0</v>
      </c>
      <c r="M132" s="446">
        <v>0</v>
      </c>
      <c r="N132" s="445">
        <v>0</v>
      </c>
      <c r="O132" s="618">
        <v>0</v>
      </c>
      <c r="P132" s="446">
        <v>0</v>
      </c>
      <c r="Q132" s="446">
        <v>0</v>
      </c>
      <c r="R132" s="445">
        <v>0</v>
      </c>
      <c r="S132" s="604"/>
      <c r="T132" s="604"/>
      <c r="U132" s="604"/>
      <c r="V132" s="604"/>
      <c r="W132" s="604"/>
      <c r="X132" s="604"/>
      <c r="Y132" s="604"/>
      <c r="Z132" s="604"/>
      <c r="AA132" s="604"/>
      <c r="AB132" s="606"/>
    </row>
    <row r="133" spans="1:28" s="74" customFormat="1">
      <c r="A133" s="443"/>
      <c r="B133" s="447" t="s">
        <v>449</v>
      </c>
      <c r="C133" s="613">
        <v>3.1361297981796599E-2</v>
      </c>
      <c r="D133" s="614">
        <v>0</v>
      </c>
      <c r="E133" s="614">
        <v>0.14971449430292286</v>
      </c>
      <c r="F133" s="614">
        <v>0</v>
      </c>
      <c r="G133" s="614">
        <v>3.066930867459261E-2</v>
      </c>
      <c r="H133" s="614">
        <v>0</v>
      </c>
      <c r="I133" s="613">
        <v>4.8325850434861435E-2</v>
      </c>
      <c r="J133" s="613">
        <v>0</v>
      </c>
      <c r="K133" s="614">
        <v>0</v>
      </c>
      <c r="L133" s="614">
        <v>0</v>
      </c>
      <c r="M133" s="614">
        <v>0</v>
      </c>
      <c r="N133" s="613">
        <v>0</v>
      </c>
      <c r="O133" s="617">
        <v>0</v>
      </c>
      <c r="P133" s="614">
        <v>0</v>
      </c>
      <c r="Q133" s="614">
        <v>0</v>
      </c>
      <c r="R133" s="613">
        <v>0</v>
      </c>
      <c r="S133" s="615">
        <v>0</v>
      </c>
      <c r="T133" s="615">
        <v>0</v>
      </c>
      <c r="U133" s="615">
        <v>0</v>
      </c>
      <c r="V133" s="615">
        <v>0</v>
      </c>
      <c r="W133" s="615">
        <v>0</v>
      </c>
      <c r="X133" s="615">
        <v>0</v>
      </c>
      <c r="Y133" s="615">
        <v>0</v>
      </c>
      <c r="Z133" s="615">
        <v>0</v>
      </c>
      <c r="AA133" s="615">
        <v>0</v>
      </c>
      <c r="AB133" s="616">
        <v>0</v>
      </c>
    </row>
    <row r="134" spans="1:28" s="74" customFormat="1">
      <c r="A134" s="443"/>
      <c r="B134" s="444" t="s">
        <v>49</v>
      </c>
      <c r="C134" s="445">
        <v>43029.3</v>
      </c>
      <c r="D134" s="446"/>
      <c r="E134" s="446">
        <v>18477.241666666665</v>
      </c>
      <c r="F134" s="446"/>
      <c r="G134" s="446">
        <v>19514.733333333334</v>
      </c>
      <c r="H134" s="446">
        <v>4970.333333333333</v>
      </c>
      <c r="I134" s="445">
        <v>85991.608333333337</v>
      </c>
      <c r="J134" s="445">
        <v>2935.6</v>
      </c>
      <c r="K134" s="446">
        <v>19308.033333333333</v>
      </c>
      <c r="L134" s="446">
        <v>11911.066666666666</v>
      </c>
      <c r="M134" s="446">
        <v>12074.1</v>
      </c>
      <c r="N134" s="445">
        <v>46228.799999999996</v>
      </c>
      <c r="O134" s="618">
        <v>6795.3086222222237</v>
      </c>
      <c r="P134" s="446">
        <v>20184.214066666664</v>
      </c>
      <c r="Q134" s="446">
        <v>0</v>
      </c>
      <c r="R134" s="445">
        <v>26979.522688888886</v>
      </c>
      <c r="S134" s="604"/>
      <c r="T134" s="604"/>
      <c r="U134" s="604"/>
      <c r="V134" s="604"/>
      <c r="W134" s="604"/>
      <c r="X134" s="604"/>
      <c r="Y134" s="604"/>
      <c r="Z134" s="604"/>
      <c r="AA134" s="604"/>
      <c r="AB134" s="606"/>
    </row>
    <row r="135" spans="1:28" s="74" customFormat="1">
      <c r="A135" s="443"/>
      <c r="B135" s="444" t="s">
        <v>451</v>
      </c>
      <c r="C135" s="445">
        <v>43147.083333333328</v>
      </c>
      <c r="D135" s="446"/>
      <c r="E135" s="446">
        <v>19245.991666666669</v>
      </c>
      <c r="F135" s="446"/>
      <c r="G135" s="446">
        <v>20254.274999999998</v>
      </c>
      <c r="H135" s="446">
        <v>5225.3999999999996</v>
      </c>
      <c r="I135" s="445">
        <v>87872.749999999985</v>
      </c>
      <c r="J135" s="445">
        <v>3285.2</v>
      </c>
      <c r="K135" s="446">
        <v>21310.9</v>
      </c>
      <c r="L135" s="446">
        <v>12911.733333333334</v>
      </c>
      <c r="M135" s="446">
        <v>13226.1</v>
      </c>
      <c r="N135" s="445">
        <v>50733.933333333334</v>
      </c>
      <c r="O135" s="618">
        <v>6009.1622222222222</v>
      </c>
      <c r="P135" s="446">
        <v>19708.937611111109</v>
      </c>
      <c r="Q135" s="446">
        <v>0</v>
      </c>
      <c r="R135" s="445">
        <v>25718.09983333333</v>
      </c>
      <c r="S135" s="604"/>
      <c r="T135" s="604"/>
      <c r="U135" s="604"/>
      <c r="V135" s="604"/>
      <c r="W135" s="604"/>
      <c r="X135" s="604"/>
      <c r="Y135" s="604"/>
      <c r="Z135" s="604"/>
      <c r="AA135" s="604"/>
      <c r="AB135" s="606"/>
    </row>
    <row r="136" spans="1:28" s="74" customFormat="1">
      <c r="A136" s="443"/>
      <c r="B136" s="447" t="s">
        <v>453</v>
      </c>
      <c r="C136" s="613">
        <v>2.7372821155195546E-3</v>
      </c>
      <c r="D136" s="614">
        <v>0</v>
      </c>
      <c r="E136" s="614">
        <v>4.160523599076181E-2</v>
      </c>
      <c r="F136" s="614">
        <v>0</v>
      </c>
      <c r="G136" s="614">
        <v>3.7896580703126743E-2</v>
      </c>
      <c r="H136" s="614">
        <v>5.1317819059754535E-2</v>
      </c>
      <c r="I136" s="613">
        <v>2.1875874903684835E-2</v>
      </c>
      <c r="J136" s="613">
        <v>0.11908979424989778</v>
      </c>
      <c r="K136" s="614">
        <v>0.10373229795542799</v>
      </c>
      <c r="L136" s="614">
        <v>8.4011507505625124E-2</v>
      </c>
      <c r="M136" s="614">
        <v>9.5410838074887566E-2</v>
      </c>
      <c r="N136" s="613">
        <v>9.745295861742749E-2</v>
      </c>
      <c r="O136" s="619">
        <v>-0.11568957993005966</v>
      </c>
      <c r="P136" s="614">
        <v>-2.3546938909078111E-2</v>
      </c>
      <c r="Q136" s="614">
        <v>0</v>
      </c>
      <c r="R136" s="613">
        <v>-4.675482476474864E-2</v>
      </c>
      <c r="S136" s="615">
        <v>0</v>
      </c>
      <c r="T136" s="615">
        <v>0</v>
      </c>
      <c r="U136" s="615">
        <v>0</v>
      </c>
      <c r="V136" s="615">
        <v>0</v>
      </c>
      <c r="W136" s="615">
        <v>0</v>
      </c>
      <c r="X136" s="615">
        <v>0</v>
      </c>
      <c r="Y136" s="615">
        <v>0</v>
      </c>
      <c r="Z136" s="615">
        <v>0</v>
      </c>
      <c r="AA136" s="615">
        <v>0</v>
      </c>
      <c r="AB136" s="616">
        <v>0</v>
      </c>
    </row>
    <row r="137" spans="1:28" s="74" customFormat="1">
      <c r="A137" s="442" t="s">
        <v>759</v>
      </c>
      <c r="B137" s="440" t="s">
        <v>443</v>
      </c>
      <c r="C137" s="437">
        <v>33964.633333333331</v>
      </c>
      <c r="D137" s="441"/>
      <c r="E137" s="441">
        <v>14279.150000000001</v>
      </c>
      <c r="F137" s="441">
        <v>2719.5666666666666</v>
      </c>
      <c r="G137" s="441">
        <v>14455.900000000001</v>
      </c>
      <c r="H137" s="441">
        <v>10779.116666666667</v>
      </c>
      <c r="I137" s="437">
        <v>76198.366666666669</v>
      </c>
      <c r="J137" s="437"/>
      <c r="K137" s="441">
        <v>29262.682666666668</v>
      </c>
      <c r="L137" s="441">
        <v>31398.061666666668</v>
      </c>
      <c r="M137" s="441">
        <v>6907.3996666666662</v>
      </c>
      <c r="N137" s="437">
        <v>67568.144</v>
      </c>
      <c r="O137" s="437"/>
      <c r="P137" s="441"/>
      <c r="Q137" s="441"/>
      <c r="R137" s="437"/>
      <c r="S137" s="603"/>
      <c r="T137" s="603"/>
      <c r="U137" s="603"/>
      <c r="V137" s="603"/>
      <c r="W137" s="603"/>
      <c r="X137" s="603"/>
      <c r="Y137" s="603"/>
      <c r="Z137" s="603"/>
      <c r="AA137" s="603"/>
      <c r="AB137" s="605"/>
    </row>
    <row r="138" spans="1:28" s="74" customFormat="1">
      <c r="A138" s="443"/>
      <c r="B138" s="444" t="s">
        <v>441</v>
      </c>
      <c r="C138" s="445">
        <v>35288.666666666672</v>
      </c>
      <c r="D138" s="446"/>
      <c r="E138" s="446">
        <v>14443.6</v>
      </c>
      <c r="F138" s="446">
        <v>2785.8</v>
      </c>
      <c r="G138" s="446">
        <v>14658.7</v>
      </c>
      <c r="H138" s="446">
        <v>11416.699999999999</v>
      </c>
      <c r="I138" s="445">
        <v>78593.466666666674</v>
      </c>
      <c r="J138" s="445"/>
      <c r="K138" s="446">
        <v>32399.699999999997</v>
      </c>
      <c r="L138" s="446">
        <v>36350.366666666669</v>
      </c>
      <c r="M138" s="446">
        <v>7466.7</v>
      </c>
      <c r="N138" s="445">
        <v>76216.766666666663</v>
      </c>
      <c r="O138" s="445"/>
      <c r="P138" s="446"/>
      <c r="Q138" s="446"/>
      <c r="R138" s="445"/>
      <c r="S138" s="604"/>
      <c r="T138" s="604"/>
      <c r="U138" s="604"/>
      <c r="V138" s="604"/>
      <c r="W138" s="604"/>
      <c r="X138" s="604"/>
      <c r="Y138" s="604"/>
      <c r="Z138" s="604"/>
      <c r="AA138" s="604"/>
      <c r="AB138" s="606"/>
    </row>
    <row r="139" spans="1:28" s="74" customFormat="1">
      <c r="A139" s="443"/>
      <c r="B139" s="447" t="s">
        <v>455</v>
      </c>
      <c r="C139" s="613">
        <v>3.8982706521195287E-2</v>
      </c>
      <c r="D139" s="614">
        <v>0</v>
      </c>
      <c r="E139" s="614">
        <v>1.1516791965908258E-2</v>
      </c>
      <c r="F139" s="614">
        <v>2.4354370181524108E-2</v>
      </c>
      <c r="G139" s="614">
        <v>1.4028874023754955E-2</v>
      </c>
      <c r="H139" s="614">
        <v>5.9149868495717683E-2</v>
      </c>
      <c r="I139" s="613">
        <v>3.1432432278732401E-2</v>
      </c>
      <c r="J139" s="613">
        <v>0</v>
      </c>
      <c r="K139" s="614">
        <v>0.10720197355339292</v>
      </c>
      <c r="L139" s="625">
        <v>0.1577264562562965</v>
      </c>
      <c r="M139" s="614">
        <v>8.0971184573606345E-2</v>
      </c>
      <c r="N139" s="613">
        <v>0.12799852348566301</v>
      </c>
      <c r="O139" s="617">
        <v>0</v>
      </c>
      <c r="P139" s="614">
        <v>0</v>
      </c>
      <c r="Q139" s="614">
        <v>0</v>
      </c>
      <c r="R139" s="613">
        <v>0</v>
      </c>
      <c r="S139" s="615">
        <v>0</v>
      </c>
      <c r="T139" s="615">
        <v>0</v>
      </c>
      <c r="U139" s="615">
        <v>0</v>
      </c>
      <c r="V139" s="615">
        <v>0</v>
      </c>
      <c r="W139" s="615">
        <v>0</v>
      </c>
      <c r="X139" s="615">
        <v>0</v>
      </c>
      <c r="Y139" s="615">
        <v>0</v>
      </c>
      <c r="Z139" s="615">
        <v>0</v>
      </c>
      <c r="AA139" s="615">
        <v>0</v>
      </c>
      <c r="AB139" s="616">
        <v>0</v>
      </c>
    </row>
    <row r="140" spans="1:28" s="74" customFormat="1">
      <c r="A140" s="443"/>
      <c r="B140" s="444" t="s">
        <v>439</v>
      </c>
      <c r="C140" s="445">
        <v>0</v>
      </c>
      <c r="D140" s="446"/>
      <c r="E140" s="446">
        <v>0</v>
      </c>
      <c r="F140" s="446">
        <v>0</v>
      </c>
      <c r="G140" s="446">
        <v>0</v>
      </c>
      <c r="H140" s="446">
        <v>0</v>
      </c>
      <c r="I140" s="445">
        <v>0</v>
      </c>
      <c r="J140" s="445"/>
      <c r="K140" s="446">
        <v>0</v>
      </c>
      <c r="L140" s="446">
        <v>0</v>
      </c>
      <c r="M140" s="446">
        <v>0</v>
      </c>
      <c r="N140" s="445">
        <v>0</v>
      </c>
      <c r="O140" s="618"/>
      <c r="P140" s="446"/>
      <c r="Q140" s="446"/>
      <c r="R140" s="445"/>
      <c r="S140" s="604"/>
      <c r="T140" s="604"/>
      <c r="U140" s="604"/>
      <c r="V140" s="604"/>
      <c r="W140" s="604"/>
      <c r="X140" s="604"/>
      <c r="Y140" s="604"/>
      <c r="Z140" s="604"/>
      <c r="AA140" s="604"/>
      <c r="AB140" s="606"/>
    </row>
    <row r="141" spans="1:28" s="74" customFormat="1">
      <c r="A141" s="443"/>
      <c r="B141" s="444" t="s">
        <v>437</v>
      </c>
      <c r="C141" s="445">
        <v>0</v>
      </c>
      <c r="D141" s="446"/>
      <c r="E141" s="446">
        <v>0</v>
      </c>
      <c r="F141" s="446">
        <v>0</v>
      </c>
      <c r="G141" s="446">
        <v>0</v>
      </c>
      <c r="H141" s="446">
        <v>0</v>
      </c>
      <c r="I141" s="445">
        <v>0</v>
      </c>
      <c r="J141" s="445"/>
      <c r="K141" s="446">
        <v>0</v>
      </c>
      <c r="L141" s="446">
        <v>0</v>
      </c>
      <c r="M141" s="446">
        <v>0</v>
      </c>
      <c r="N141" s="445">
        <v>0</v>
      </c>
      <c r="O141" s="618"/>
      <c r="P141" s="446"/>
      <c r="Q141" s="446"/>
      <c r="R141" s="445"/>
      <c r="S141" s="604"/>
      <c r="T141" s="604"/>
      <c r="U141" s="604"/>
      <c r="V141" s="604"/>
      <c r="W141" s="604"/>
      <c r="X141" s="604"/>
      <c r="Y141" s="604"/>
      <c r="Z141" s="604"/>
      <c r="AA141" s="604"/>
      <c r="AB141" s="606"/>
    </row>
    <row r="142" spans="1:28" s="74" customFormat="1">
      <c r="A142" s="443"/>
      <c r="B142" s="447" t="s">
        <v>457</v>
      </c>
      <c r="C142" s="613">
        <v>0</v>
      </c>
      <c r="D142" s="614">
        <v>0</v>
      </c>
      <c r="E142" s="614">
        <v>0</v>
      </c>
      <c r="F142" s="614">
        <v>0</v>
      </c>
      <c r="G142" s="614">
        <v>0</v>
      </c>
      <c r="H142" s="614">
        <v>0</v>
      </c>
      <c r="I142" s="613">
        <v>0</v>
      </c>
      <c r="J142" s="613">
        <v>0</v>
      </c>
      <c r="K142" s="614">
        <v>0</v>
      </c>
      <c r="L142" s="614">
        <v>0</v>
      </c>
      <c r="M142" s="614">
        <v>0</v>
      </c>
      <c r="N142" s="613">
        <v>0</v>
      </c>
      <c r="O142" s="617">
        <v>0</v>
      </c>
      <c r="P142" s="614">
        <v>0</v>
      </c>
      <c r="Q142" s="614">
        <v>0</v>
      </c>
      <c r="R142" s="613">
        <v>0</v>
      </c>
      <c r="S142" s="615">
        <v>0</v>
      </c>
      <c r="T142" s="615">
        <v>0</v>
      </c>
      <c r="U142" s="615">
        <v>0</v>
      </c>
      <c r="V142" s="615">
        <v>0</v>
      </c>
      <c r="W142" s="615">
        <v>0</v>
      </c>
      <c r="X142" s="615">
        <v>0</v>
      </c>
      <c r="Y142" s="615">
        <v>0</v>
      </c>
      <c r="Z142" s="615">
        <v>0</v>
      </c>
      <c r="AA142" s="615">
        <v>0</v>
      </c>
      <c r="AB142" s="616">
        <v>0</v>
      </c>
    </row>
    <row r="143" spans="1:28" s="74" customFormat="1">
      <c r="A143" s="443"/>
      <c r="B143" s="444" t="s">
        <v>445</v>
      </c>
      <c r="C143" s="445">
        <v>6952.625</v>
      </c>
      <c r="D143" s="446"/>
      <c r="E143" s="446">
        <v>1477.875</v>
      </c>
      <c r="F143" s="446">
        <v>658.14583333333337</v>
      </c>
      <c r="G143" s="446">
        <v>1066.2083333333333</v>
      </c>
      <c r="H143" s="446">
        <v>178</v>
      </c>
      <c r="I143" s="445">
        <v>10332.854166666668</v>
      </c>
      <c r="J143" s="445"/>
      <c r="K143" s="446">
        <v>0</v>
      </c>
      <c r="L143" s="446">
        <v>0</v>
      </c>
      <c r="M143" s="446">
        <v>0</v>
      </c>
      <c r="N143" s="445">
        <v>0</v>
      </c>
      <c r="O143" s="618"/>
      <c r="P143" s="446"/>
      <c r="Q143" s="446"/>
      <c r="R143" s="445"/>
      <c r="S143" s="604"/>
      <c r="T143" s="604"/>
      <c r="U143" s="604"/>
      <c r="V143" s="604"/>
      <c r="W143" s="604"/>
      <c r="X143" s="604"/>
      <c r="Y143" s="604"/>
      <c r="Z143" s="604"/>
      <c r="AA143" s="604"/>
      <c r="AB143" s="606"/>
    </row>
    <row r="144" spans="1:28" s="74" customFormat="1">
      <c r="A144" s="443"/>
      <c r="B144" s="444" t="s">
        <v>447</v>
      </c>
      <c r="C144" s="445">
        <v>7462.2083333333339</v>
      </c>
      <c r="D144" s="446"/>
      <c r="E144" s="446">
        <v>1518.0416666666665</v>
      </c>
      <c r="F144" s="446">
        <v>649.58333333333337</v>
      </c>
      <c r="G144" s="446">
        <v>981.875</v>
      </c>
      <c r="H144" s="446">
        <v>157.29166666666666</v>
      </c>
      <c r="I144" s="445">
        <v>10769</v>
      </c>
      <c r="J144" s="445"/>
      <c r="K144" s="446">
        <v>0</v>
      </c>
      <c r="L144" s="446">
        <v>0</v>
      </c>
      <c r="M144" s="446">
        <v>0</v>
      </c>
      <c r="N144" s="445">
        <v>0</v>
      </c>
      <c r="O144" s="618"/>
      <c r="P144" s="446"/>
      <c r="Q144" s="446"/>
      <c r="R144" s="445"/>
      <c r="S144" s="604"/>
      <c r="T144" s="604"/>
      <c r="U144" s="604"/>
      <c r="V144" s="604"/>
      <c r="W144" s="604"/>
      <c r="X144" s="604"/>
      <c r="Y144" s="604"/>
      <c r="Z144" s="604"/>
      <c r="AA144" s="604"/>
      <c r="AB144" s="606"/>
    </row>
    <row r="145" spans="1:28" s="74" customFormat="1">
      <c r="A145" s="443"/>
      <c r="B145" s="447" t="s">
        <v>449</v>
      </c>
      <c r="C145" s="613">
        <v>7.3293660068439459E-2</v>
      </c>
      <c r="D145" s="614">
        <v>0</v>
      </c>
      <c r="E145" s="614">
        <v>2.7178663057881428E-2</v>
      </c>
      <c r="F145" s="614">
        <v>-1.301003450349783E-2</v>
      </c>
      <c r="G145" s="614">
        <v>-7.9096486771659633E-2</v>
      </c>
      <c r="H145" s="614">
        <v>-0.11633895131086147</v>
      </c>
      <c r="I145" s="613">
        <v>4.220961859118455E-2</v>
      </c>
      <c r="J145" s="613">
        <v>0</v>
      </c>
      <c r="K145" s="614">
        <v>0</v>
      </c>
      <c r="L145" s="614">
        <v>0</v>
      </c>
      <c r="M145" s="614">
        <v>0</v>
      </c>
      <c r="N145" s="613">
        <v>0</v>
      </c>
      <c r="O145" s="617">
        <v>0</v>
      </c>
      <c r="P145" s="614">
        <v>0</v>
      </c>
      <c r="Q145" s="614">
        <v>0</v>
      </c>
      <c r="R145" s="613">
        <v>0</v>
      </c>
      <c r="S145" s="615">
        <v>0</v>
      </c>
      <c r="T145" s="615">
        <v>0</v>
      </c>
      <c r="U145" s="615">
        <v>0</v>
      </c>
      <c r="V145" s="615">
        <v>0</v>
      </c>
      <c r="W145" s="615">
        <v>0</v>
      </c>
      <c r="X145" s="615">
        <v>0</v>
      </c>
      <c r="Y145" s="615">
        <v>0</v>
      </c>
      <c r="Z145" s="615">
        <v>0</v>
      </c>
      <c r="AA145" s="615">
        <v>0</v>
      </c>
      <c r="AB145" s="616">
        <v>0</v>
      </c>
    </row>
    <row r="146" spans="1:28" s="74" customFormat="1">
      <c r="A146" s="443"/>
      <c r="B146" s="444" t="s">
        <v>49</v>
      </c>
      <c r="C146" s="445">
        <v>40917.258333333331</v>
      </c>
      <c r="D146" s="446"/>
      <c r="E146" s="446">
        <v>15757.025</v>
      </c>
      <c r="F146" s="446">
        <v>3377.7125000000001</v>
      </c>
      <c r="G146" s="446">
        <v>15522.108333333334</v>
      </c>
      <c r="H146" s="446">
        <v>10957.116666666667</v>
      </c>
      <c r="I146" s="445">
        <v>86531.22083333334</v>
      </c>
      <c r="J146" s="445"/>
      <c r="K146" s="446">
        <v>29262.682666666668</v>
      </c>
      <c r="L146" s="446">
        <v>31398.061666666668</v>
      </c>
      <c r="M146" s="446">
        <v>6907.3996666666662</v>
      </c>
      <c r="N146" s="445">
        <v>67568.144</v>
      </c>
      <c r="O146" s="618"/>
      <c r="P146" s="446"/>
      <c r="Q146" s="446"/>
      <c r="R146" s="445"/>
      <c r="S146" s="604"/>
      <c r="T146" s="604"/>
      <c r="U146" s="604"/>
      <c r="V146" s="604"/>
      <c r="W146" s="604"/>
      <c r="X146" s="604"/>
      <c r="Y146" s="604"/>
      <c r="Z146" s="604"/>
      <c r="AA146" s="604"/>
      <c r="AB146" s="606"/>
    </row>
    <row r="147" spans="1:28" s="74" customFormat="1">
      <c r="A147" s="443"/>
      <c r="B147" s="444" t="s">
        <v>451</v>
      </c>
      <c r="C147" s="445">
        <v>42750.875</v>
      </c>
      <c r="D147" s="446"/>
      <c r="E147" s="446">
        <v>15961.641666666666</v>
      </c>
      <c r="F147" s="446">
        <v>3435.3833333333337</v>
      </c>
      <c r="G147" s="446">
        <v>15640.575000000001</v>
      </c>
      <c r="H147" s="446">
        <v>11573.991666666665</v>
      </c>
      <c r="I147" s="445">
        <v>89362.46666666666</v>
      </c>
      <c r="J147" s="445"/>
      <c r="K147" s="446">
        <v>32399.699999999997</v>
      </c>
      <c r="L147" s="446">
        <v>36350.366666666669</v>
      </c>
      <c r="M147" s="446">
        <v>7466.7</v>
      </c>
      <c r="N147" s="445">
        <v>76216.766666666663</v>
      </c>
      <c r="O147" s="618"/>
      <c r="P147" s="446"/>
      <c r="Q147" s="446"/>
      <c r="R147" s="445"/>
      <c r="S147" s="604"/>
      <c r="T147" s="604"/>
      <c r="U147" s="604"/>
      <c r="V147" s="604"/>
      <c r="W147" s="604"/>
      <c r="X147" s="604"/>
      <c r="Y147" s="604"/>
      <c r="Z147" s="604"/>
      <c r="AA147" s="604"/>
      <c r="AB147" s="606"/>
    </row>
    <row r="148" spans="1:28" s="74" customFormat="1">
      <c r="A148" s="443"/>
      <c r="B148" s="447" t="s">
        <v>453</v>
      </c>
      <c r="C148" s="613">
        <v>4.4812793949415446E-2</v>
      </c>
      <c r="D148" s="614">
        <v>0</v>
      </c>
      <c r="E148" s="614">
        <v>1.298574233820577E-2</v>
      </c>
      <c r="F148" s="614">
        <v>1.7073931938651848E-2</v>
      </c>
      <c r="G148" s="614">
        <v>7.6321247167347103E-3</v>
      </c>
      <c r="H148" s="614">
        <v>5.6299026355777736E-2</v>
      </c>
      <c r="I148" s="613">
        <v>3.271935615916681E-2</v>
      </c>
      <c r="J148" s="613">
        <v>0</v>
      </c>
      <c r="K148" s="614">
        <v>0.10720197355339292</v>
      </c>
      <c r="L148" s="614">
        <v>0.1577264562562965</v>
      </c>
      <c r="M148" s="614">
        <v>8.0971184573606345E-2</v>
      </c>
      <c r="N148" s="613">
        <v>0.12799852348566301</v>
      </c>
      <c r="O148" s="619">
        <v>0</v>
      </c>
      <c r="P148" s="614">
        <v>0</v>
      </c>
      <c r="Q148" s="614">
        <v>0</v>
      </c>
      <c r="R148" s="613">
        <v>0</v>
      </c>
      <c r="S148" s="615">
        <v>0</v>
      </c>
      <c r="T148" s="615">
        <v>0</v>
      </c>
      <c r="U148" s="615">
        <v>0</v>
      </c>
      <c r="V148" s="615">
        <v>0</v>
      </c>
      <c r="W148" s="615">
        <v>0</v>
      </c>
      <c r="X148" s="615">
        <v>0</v>
      </c>
      <c r="Y148" s="615">
        <v>0</v>
      </c>
      <c r="Z148" s="615">
        <v>0</v>
      </c>
      <c r="AA148" s="615">
        <v>0</v>
      </c>
      <c r="AB148" s="616">
        <v>0</v>
      </c>
    </row>
    <row r="149" spans="1:28" s="74" customFormat="1">
      <c r="A149" s="442" t="s">
        <v>227</v>
      </c>
      <c r="B149" s="440" t="s">
        <v>443</v>
      </c>
      <c r="C149" s="437">
        <v>34068.300000000003</v>
      </c>
      <c r="D149" s="441"/>
      <c r="E149" s="441">
        <v>50011.733333333337</v>
      </c>
      <c r="F149" s="441">
        <v>7234.7333333333336</v>
      </c>
      <c r="G149" s="441">
        <v>6155.4666666666662</v>
      </c>
      <c r="H149" s="441"/>
      <c r="I149" s="437">
        <v>97470.233333333337</v>
      </c>
      <c r="J149" s="437"/>
      <c r="K149" s="441">
        <v>19253.966666666667</v>
      </c>
      <c r="L149" s="441">
        <v>32559.833333333332</v>
      </c>
      <c r="M149" s="441">
        <v>1718.0666666666666</v>
      </c>
      <c r="N149" s="437">
        <v>53531.866666666669</v>
      </c>
      <c r="O149" s="437"/>
      <c r="P149" s="441">
        <v>0</v>
      </c>
      <c r="Q149" s="441"/>
      <c r="R149" s="437">
        <v>0</v>
      </c>
      <c r="S149" s="603"/>
      <c r="T149" s="603"/>
      <c r="U149" s="603"/>
      <c r="V149" s="603"/>
      <c r="W149" s="603"/>
      <c r="X149" s="603"/>
      <c r="Y149" s="603"/>
      <c r="Z149" s="603"/>
      <c r="AA149" s="603"/>
      <c r="AB149" s="605"/>
    </row>
    <row r="150" spans="1:28" s="74" customFormat="1">
      <c r="A150" s="443"/>
      <c r="B150" s="444" t="s">
        <v>441</v>
      </c>
      <c r="C150" s="445">
        <v>34350.5</v>
      </c>
      <c r="D150" s="446"/>
      <c r="E150" s="446">
        <v>51871.23333333333</v>
      </c>
      <c r="F150" s="446">
        <v>7427.2</v>
      </c>
      <c r="G150" s="446">
        <v>6458.2333333333336</v>
      </c>
      <c r="H150" s="446"/>
      <c r="I150" s="445">
        <v>100107.16666666667</v>
      </c>
      <c r="J150" s="445"/>
      <c r="K150" s="446">
        <v>21776.166666666668</v>
      </c>
      <c r="L150" s="446">
        <v>36785.23333333333</v>
      </c>
      <c r="M150" s="446">
        <v>2059.5</v>
      </c>
      <c r="N150" s="445">
        <v>60620.899999999994</v>
      </c>
      <c r="O150" s="445"/>
      <c r="P150" s="446">
        <v>0</v>
      </c>
      <c r="Q150" s="446"/>
      <c r="R150" s="445">
        <v>0</v>
      </c>
      <c r="S150" s="604"/>
      <c r="T150" s="604"/>
      <c r="U150" s="604"/>
      <c r="V150" s="604"/>
      <c r="W150" s="604"/>
      <c r="X150" s="604"/>
      <c r="Y150" s="604"/>
      <c r="Z150" s="604"/>
      <c r="AA150" s="604"/>
      <c r="AB150" s="606"/>
    </row>
    <row r="151" spans="1:28" s="74" customFormat="1">
      <c r="A151" s="443"/>
      <c r="B151" s="447" t="s">
        <v>455</v>
      </c>
      <c r="C151" s="613">
        <v>8.2833601911453478E-3</v>
      </c>
      <c r="D151" s="614">
        <v>0</v>
      </c>
      <c r="E151" s="614">
        <v>3.7181274794181485E-2</v>
      </c>
      <c r="F151" s="614">
        <v>2.660314593488812E-2</v>
      </c>
      <c r="G151" s="614">
        <v>4.9186630853875257E-2</v>
      </c>
      <c r="H151" s="614">
        <v>0</v>
      </c>
      <c r="I151" s="613">
        <v>2.7053729565983748E-2</v>
      </c>
      <c r="J151" s="613">
        <v>0</v>
      </c>
      <c r="K151" s="614">
        <v>0.13099638342921549</v>
      </c>
      <c r="L151" s="614">
        <v>0.12977339155093948</v>
      </c>
      <c r="M151" s="614">
        <v>0.19873113189243727</v>
      </c>
      <c r="N151" s="613">
        <v>0.13242641766025967</v>
      </c>
      <c r="O151" s="617">
        <v>0</v>
      </c>
      <c r="P151" s="614">
        <v>0</v>
      </c>
      <c r="Q151" s="614">
        <v>0</v>
      </c>
      <c r="R151" s="613">
        <v>0</v>
      </c>
      <c r="S151" s="615">
        <v>0</v>
      </c>
      <c r="T151" s="615">
        <v>0</v>
      </c>
      <c r="U151" s="615">
        <v>0</v>
      </c>
      <c r="V151" s="615">
        <v>0</v>
      </c>
      <c r="W151" s="615">
        <v>0</v>
      </c>
      <c r="X151" s="615">
        <v>0</v>
      </c>
      <c r="Y151" s="615">
        <v>0</v>
      </c>
      <c r="Z151" s="615">
        <v>0</v>
      </c>
      <c r="AA151" s="615">
        <v>0</v>
      </c>
      <c r="AB151" s="616">
        <v>0</v>
      </c>
    </row>
    <row r="152" spans="1:28" s="74" customFormat="1">
      <c r="A152" s="443"/>
      <c r="B152" s="444" t="s">
        <v>439</v>
      </c>
      <c r="C152" s="445">
        <v>0</v>
      </c>
      <c r="D152" s="446"/>
      <c r="E152" s="446">
        <v>0</v>
      </c>
      <c r="F152" s="446">
        <v>0</v>
      </c>
      <c r="G152" s="446">
        <v>0</v>
      </c>
      <c r="H152" s="446"/>
      <c r="I152" s="445">
        <v>0</v>
      </c>
      <c r="J152" s="445"/>
      <c r="K152" s="446">
        <v>0</v>
      </c>
      <c r="L152" s="446">
        <v>0</v>
      </c>
      <c r="M152" s="446">
        <v>0</v>
      </c>
      <c r="N152" s="445">
        <v>0</v>
      </c>
      <c r="O152" s="618"/>
      <c r="P152" s="446">
        <v>11037.255555555552</v>
      </c>
      <c r="Q152" s="446"/>
      <c r="R152" s="445">
        <v>11037.255555555552</v>
      </c>
      <c r="S152" s="604"/>
      <c r="T152" s="604"/>
      <c r="U152" s="604"/>
      <c r="V152" s="604"/>
      <c r="W152" s="604"/>
      <c r="X152" s="604"/>
      <c r="Y152" s="604"/>
      <c r="Z152" s="604"/>
      <c r="AA152" s="604"/>
      <c r="AB152" s="606"/>
    </row>
    <row r="153" spans="1:28" s="74" customFormat="1">
      <c r="A153" s="443"/>
      <c r="B153" s="444" t="s">
        <v>437</v>
      </c>
      <c r="C153" s="445">
        <v>0</v>
      </c>
      <c r="D153" s="446"/>
      <c r="E153" s="446">
        <v>0</v>
      </c>
      <c r="F153" s="446">
        <v>0</v>
      </c>
      <c r="G153" s="446">
        <v>0</v>
      </c>
      <c r="H153" s="446"/>
      <c r="I153" s="445">
        <v>0</v>
      </c>
      <c r="J153" s="445"/>
      <c r="K153" s="446">
        <v>0</v>
      </c>
      <c r="L153" s="446">
        <v>0</v>
      </c>
      <c r="M153" s="446">
        <v>0</v>
      </c>
      <c r="N153" s="445">
        <v>0</v>
      </c>
      <c r="O153" s="618"/>
      <c r="P153" s="446">
        <v>12836.998888888886</v>
      </c>
      <c r="Q153" s="446"/>
      <c r="R153" s="445">
        <v>12836.998888888886</v>
      </c>
      <c r="S153" s="604"/>
      <c r="T153" s="604"/>
      <c r="U153" s="604"/>
      <c r="V153" s="604"/>
      <c r="W153" s="604"/>
      <c r="X153" s="604"/>
      <c r="Y153" s="604"/>
      <c r="Z153" s="604"/>
      <c r="AA153" s="604"/>
      <c r="AB153" s="606"/>
    </row>
    <row r="154" spans="1:28" s="74" customFormat="1">
      <c r="A154" s="443"/>
      <c r="B154" s="447" t="s">
        <v>457</v>
      </c>
      <c r="C154" s="613">
        <v>0</v>
      </c>
      <c r="D154" s="614">
        <v>0</v>
      </c>
      <c r="E154" s="614">
        <v>0</v>
      </c>
      <c r="F154" s="614">
        <v>0</v>
      </c>
      <c r="G154" s="614">
        <v>0</v>
      </c>
      <c r="H154" s="614">
        <v>0</v>
      </c>
      <c r="I154" s="613">
        <v>0</v>
      </c>
      <c r="J154" s="613">
        <v>0</v>
      </c>
      <c r="K154" s="614">
        <v>0</v>
      </c>
      <c r="L154" s="614">
        <v>0</v>
      </c>
      <c r="M154" s="614">
        <v>0</v>
      </c>
      <c r="N154" s="613">
        <v>0</v>
      </c>
      <c r="O154" s="617">
        <v>0</v>
      </c>
      <c r="P154" s="614">
        <v>0.16306076490431912</v>
      </c>
      <c r="Q154" s="614">
        <v>0</v>
      </c>
      <c r="R154" s="613">
        <v>0.16306076490431912</v>
      </c>
      <c r="S154" s="615">
        <v>0</v>
      </c>
      <c r="T154" s="615">
        <v>0</v>
      </c>
      <c r="U154" s="615">
        <v>0</v>
      </c>
      <c r="V154" s="615">
        <v>0</v>
      </c>
      <c r="W154" s="615">
        <v>0</v>
      </c>
      <c r="X154" s="615">
        <v>0</v>
      </c>
      <c r="Y154" s="615">
        <v>0</v>
      </c>
      <c r="Z154" s="615">
        <v>0</v>
      </c>
      <c r="AA154" s="615">
        <v>0</v>
      </c>
      <c r="AB154" s="616">
        <v>0</v>
      </c>
    </row>
    <row r="155" spans="1:28" s="74" customFormat="1">
      <c r="A155" s="443"/>
      <c r="B155" s="444" t="s">
        <v>445</v>
      </c>
      <c r="C155" s="445">
        <v>8287.0416666666661</v>
      </c>
      <c r="D155" s="446"/>
      <c r="E155" s="446">
        <v>6953.458333333333</v>
      </c>
      <c r="F155" s="446">
        <v>558.70833333333337</v>
      </c>
      <c r="G155" s="446">
        <v>261.41666666666669</v>
      </c>
      <c r="H155" s="446"/>
      <c r="I155" s="445">
        <v>16060.625</v>
      </c>
      <c r="J155" s="445"/>
      <c r="K155" s="446">
        <v>0</v>
      </c>
      <c r="L155" s="446">
        <v>0</v>
      </c>
      <c r="M155" s="446">
        <v>0</v>
      </c>
      <c r="N155" s="445">
        <v>0</v>
      </c>
      <c r="O155" s="618"/>
      <c r="P155" s="446">
        <v>0</v>
      </c>
      <c r="Q155" s="446"/>
      <c r="R155" s="445">
        <v>0</v>
      </c>
      <c r="S155" s="604"/>
      <c r="T155" s="604"/>
      <c r="U155" s="604"/>
      <c r="V155" s="604"/>
      <c r="W155" s="604"/>
      <c r="X155" s="604"/>
      <c r="Y155" s="604"/>
      <c r="Z155" s="604"/>
      <c r="AA155" s="604"/>
      <c r="AB155" s="606"/>
    </row>
    <row r="156" spans="1:28" s="74" customFormat="1">
      <c r="A156" s="443"/>
      <c r="B156" s="444" t="s">
        <v>447</v>
      </c>
      <c r="C156" s="445">
        <v>8444.9583333333339</v>
      </c>
      <c r="D156" s="446"/>
      <c r="E156" s="446">
        <v>7386.375</v>
      </c>
      <c r="F156" s="446">
        <v>563.875</v>
      </c>
      <c r="G156" s="446">
        <v>325.33333333333331</v>
      </c>
      <c r="H156" s="446"/>
      <c r="I156" s="445">
        <v>16720.541666666668</v>
      </c>
      <c r="J156" s="445"/>
      <c r="K156" s="446">
        <v>0</v>
      </c>
      <c r="L156" s="446">
        <v>0</v>
      </c>
      <c r="M156" s="446">
        <v>0</v>
      </c>
      <c r="N156" s="445">
        <v>0</v>
      </c>
      <c r="O156" s="618"/>
      <c r="P156" s="446">
        <v>0</v>
      </c>
      <c r="Q156" s="446"/>
      <c r="R156" s="445">
        <v>0</v>
      </c>
      <c r="S156" s="604"/>
      <c r="T156" s="604"/>
      <c r="U156" s="604"/>
      <c r="V156" s="604"/>
      <c r="W156" s="604"/>
      <c r="X156" s="604"/>
      <c r="Y156" s="604"/>
      <c r="Z156" s="604"/>
      <c r="AA156" s="604"/>
      <c r="AB156" s="606"/>
    </row>
    <row r="157" spans="1:28" s="74" customFormat="1">
      <c r="A157" s="443"/>
      <c r="B157" s="447" t="s">
        <v>449</v>
      </c>
      <c r="C157" s="613">
        <v>1.9055855276058652E-2</v>
      </c>
      <c r="D157" s="614">
        <v>0</v>
      </c>
      <c r="E157" s="614">
        <v>6.2259187574528307E-2</v>
      </c>
      <c r="F157" s="614">
        <v>9.2475203221716075E-3</v>
      </c>
      <c r="G157" s="614">
        <v>0.24450111571565172</v>
      </c>
      <c r="H157" s="614">
        <v>0</v>
      </c>
      <c r="I157" s="613">
        <v>4.1089102489265887E-2</v>
      </c>
      <c r="J157" s="613">
        <v>0</v>
      </c>
      <c r="K157" s="614">
        <v>0</v>
      </c>
      <c r="L157" s="614">
        <v>0</v>
      </c>
      <c r="M157" s="614">
        <v>0</v>
      </c>
      <c r="N157" s="613">
        <v>0</v>
      </c>
      <c r="O157" s="617">
        <v>0</v>
      </c>
      <c r="P157" s="614">
        <v>0</v>
      </c>
      <c r="Q157" s="614">
        <v>0</v>
      </c>
      <c r="R157" s="613">
        <v>0</v>
      </c>
      <c r="S157" s="615">
        <v>0</v>
      </c>
      <c r="T157" s="615">
        <v>0</v>
      </c>
      <c r="U157" s="615">
        <v>0</v>
      </c>
      <c r="V157" s="615">
        <v>0</v>
      </c>
      <c r="W157" s="615">
        <v>0</v>
      </c>
      <c r="X157" s="615">
        <v>0</v>
      </c>
      <c r="Y157" s="615">
        <v>0</v>
      </c>
      <c r="Z157" s="615">
        <v>0</v>
      </c>
      <c r="AA157" s="615">
        <v>0</v>
      </c>
      <c r="AB157" s="616">
        <v>0</v>
      </c>
    </row>
    <row r="158" spans="1:28" s="74" customFormat="1">
      <c r="A158" s="443"/>
      <c r="B158" s="444" t="s">
        <v>49</v>
      </c>
      <c r="C158" s="445">
        <v>42355.34166666666</v>
      </c>
      <c r="D158" s="446"/>
      <c r="E158" s="446">
        <v>56965.191666666666</v>
      </c>
      <c r="F158" s="446">
        <v>7793.4416666666666</v>
      </c>
      <c r="G158" s="446">
        <v>6416.8833333333332</v>
      </c>
      <c r="H158" s="446"/>
      <c r="I158" s="445">
        <v>113530.85833333332</v>
      </c>
      <c r="J158" s="445"/>
      <c r="K158" s="446">
        <v>19253.966666666667</v>
      </c>
      <c r="L158" s="446">
        <v>32559.833333333332</v>
      </c>
      <c r="M158" s="446">
        <v>1718.0666666666666</v>
      </c>
      <c r="N158" s="445">
        <v>53531.866666666669</v>
      </c>
      <c r="O158" s="618"/>
      <c r="P158" s="446">
        <v>11037.255555555552</v>
      </c>
      <c r="Q158" s="446"/>
      <c r="R158" s="445">
        <v>11037.255555555552</v>
      </c>
      <c r="S158" s="604"/>
      <c r="T158" s="604"/>
      <c r="U158" s="604"/>
      <c r="V158" s="604"/>
      <c r="W158" s="604"/>
      <c r="X158" s="604"/>
      <c r="Y158" s="604"/>
      <c r="Z158" s="604"/>
      <c r="AA158" s="604"/>
      <c r="AB158" s="606"/>
    </row>
    <row r="159" spans="1:28" s="74" customFormat="1">
      <c r="A159" s="443"/>
      <c r="B159" s="444" t="s">
        <v>451</v>
      </c>
      <c r="C159" s="445">
        <v>42795.458333333336</v>
      </c>
      <c r="D159" s="446"/>
      <c r="E159" s="446">
        <v>59257.60833333333</v>
      </c>
      <c r="F159" s="446">
        <v>7991.0749999999998</v>
      </c>
      <c r="G159" s="446">
        <v>6783.5666666666666</v>
      </c>
      <c r="H159" s="446"/>
      <c r="I159" s="445">
        <v>116827.70833333333</v>
      </c>
      <c r="J159" s="445"/>
      <c r="K159" s="446">
        <v>21776.166666666668</v>
      </c>
      <c r="L159" s="446">
        <v>36785.23333333333</v>
      </c>
      <c r="M159" s="446">
        <v>2059.5</v>
      </c>
      <c r="N159" s="445">
        <v>60620.899999999994</v>
      </c>
      <c r="O159" s="618"/>
      <c r="P159" s="446">
        <v>12836.998888888886</v>
      </c>
      <c r="Q159" s="446"/>
      <c r="R159" s="445">
        <v>12836.998888888886</v>
      </c>
      <c r="S159" s="604"/>
      <c r="T159" s="604"/>
      <c r="U159" s="604"/>
      <c r="V159" s="604"/>
      <c r="W159" s="604"/>
      <c r="X159" s="604"/>
      <c r="Y159" s="604"/>
      <c r="Z159" s="604"/>
      <c r="AA159" s="604"/>
      <c r="AB159" s="606"/>
    </row>
    <row r="160" spans="1:28" s="74" customFormat="1">
      <c r="A160" s="443"/>
      <c r="B160" s="447" t="s">
        <v>453</v>
      </c>
      <c r="C160" s="613">
        <v>1.0391054571826165E-2</v>
      </c>
      <c r="D160" s="614">
        <v>0</v>
      </c>
      <c r="E160" s="614">
        <v>4.0242411191746728E-2</v>
      </c>
      <c r="F160" s="614">
        <v>2.5358928928490072E-2</v>
      </c>
      <c r="G160" s="614">
        <v>5.7143525023830376E-2</v>
      </c>
      <c r="H160" s="614">
        <v>0</v>
      </c>
      <c r="I160" s="613">
        <v>2.903924138686809E-2</v>
      </c>
      <c r="J160" s="613">
        <v>0</v>
      </c>
      <c r="K160" s="614">
        <v>0.13099638342921549</v>
      </c>
      <c r="L160" s="614">
        <v>0.12977339155093948</v>
      </c>
      <c r="M160" s="614">
        <v>0.19873113189243727</v>
      </c>
      <c r="N160" s="613">
        <v>0.13242641766025967</v>
      </c>
      <c r="O160" s="619">
        <v>0</v>
      </c>
      <c r="P160" s="614">
        <v>0.16306076490431912</v>
      </c>
      <c r="Q160" s="614">
        <v>0</v>
      </c>
      <c r="R160" s="613">
        <v>0.16306076490431912</v>
      </c>
      <c r="S160" s="615">
        <v>0</v>
      </c>
      <c r="T160" s="615">
        <v>0</v>
      </c>
      <c r="U160" s="615">
        <v>0</v>
      </c>
      <c r="V160" s="615">
        <v>0</v>
      </c>
      <c r="W160" s="615">
        <v>0</v>
      </c>
      <c r="X160" s="615">
        <v>0</v>
      </c>
      <c r="Y160" s="615">
        <v>0</v>
      </c>
      <c r="Z160" s="615">
        <v>0</v>
      </c>
      <c r="AA160" s="615">
        <v>0</v>
      </c>
      <c r="AB160" s="616">
        <v>0</v>
      </c>
    </row>
    <row r="161" spans="1:34" s="74" customFormat="1">
      <c r="A161" s="442" t="s">
        <v>279</v>
      </c>
      <c r="B161" s="440" t="s">
        <v>443</v>
      </c>
      <c r="C161" s="437">
        <v>162221.83333333334</v>
      </c>
      <c r="D161" s="441">
        <v>40107.766666666663</v>
      </c>
      <c r="E161" s="441">
        <v>125921.20000000001</v>
      </c>
      <c r="F161" s="441">
        <v>7107.7999999999993</v>
      </c>
      <c r="G161" s="441">
        <v>9030.3666666666668</v>
      </c>
      <c r="H161" s="441">
        <v>1482.7</v>
      </c>
      <c r="I161" s="437">
        <v>345871.66666666669</v>
      </c>
      <c r="J161" s="437">
        <v>18973.400000000001</v>
      </c>
      <c r="K161" s="441">
        <v>279925.26666666672</v>
      </c>
      <c r="L161" s="441">
        <v>86420.933333333334</v>
      </c>
      <c r="M161" s="441">
        <v>13505.766666666665</v>
      </c>
      <c r="N161" s="437">
        <v>398825.36666666676</v>
      </c>
      <c r="O161" s="437"/>
      <c r="P161" s="441"/>
      <c r="Q161" s="441"/>
      <c r="R161" s="437"/>
      <c r="S161" s="603">
        <v>296.60000000000002</v>
      </c>
      <c r="T161" s="603">
        <v>296.60000000000002</v>
      </c>
      <c r="U161" s="603">
        <v>74531.53333333334</v>
      </c>
      <c r="V161" s="603">
        <v>74531.53333333334</v>
      </c>
      <c r="W161" s="603">
        <v>61059.133333333331</v>
      </c>
      <c r="X161" s="603">
        <v>61059.133333333331</v>
      </c>
      <c r="Y161" s="603">
        <v>13175.8</v>
      </c>
      <c r="Z161" s="603">
        <v>13175.8</v>
      </c>
      <c r="AA161" s="603"/>
      <c r="AB161" s="605"/>
    </row>
    <row r="162" spans="1:34" s="74" customFormat="1">
      <c r="A162" s="443"/>
      <c r="B162" s="444" t="s">
        <v>441</v>
      </c>
      <c r="C162" s="445">
        <v>164286.16666666666</v>
      </c>
      <c r="D162" s="446">
        <v>40728.300000000003</v>
      </c>
      <c r="E162" s="446">
        <v>128753.46666666667</v>
      </c>
      <c r="F162" s="446">
        <v>7419.9</v>
      </c>
      <c r="G162" s="446">
        <v>9216.1</v>
      </c>
      <c r="H162" s="446">
        <v>1635.9</v>
      </c>
      <c r="I162" s="445">
        <v>352039.83333333337</v>
      </c>
      <c r="J162" s="445">
        <v>21533</v>
      </c>
      <c r="K162" s="446">
        <v>307193.93333333335</v>
      </c>
      <c r="L162" s="446">
        <v>96034.533333333355</v>
      </c>
      <c r="M162" s="446">
        <v>14222.999999999998</v>
      </c>
      <c r="N162" s="445">
        <v>438984.46666666667</v>
      </c>
      <c r="O162" s="445"/>
      <c r="P162" s="446"/>
      <c r="Q162" s="446"/>
      <c r="R162" s="445"/>
      <c r="S162" s="604">
        <v>410.06666666666666</v>
      </c>
      <c r="T162" s="604">
        <v>410.06666666666666</v>
      </c>
      <c r="U162" s="604">
        <v>82469.733333333323</v>
      </c>
      <c r="V162" s="604">
        <v>82469.733333333323</v>
      </c>
      <c r="W162" s="604">
        <v>66995.866666666669</v>
      </c>
      <c r="X162" s="604">
        <v>66995.866666666669</v>
      </c>
      <c r="Y162" s="604">
        <v>15063.800000000001</v>
      </c>
      <c r="Z162" s="604">
        <v>15063.800000000001</v>
      </c>
      <c r="AA162" s="604"/>
      <c r="AB162" s="606"/>
    </row>
    <row r="163" spans="1:34" s="74" customFormat="1">
      <c r="A163" s="443"/>
      <c r="B163" s="447" t="s">
        <v>455</v>
      </c>
      <c r="C163" s="613">
        <v>1.2725372971784402E-2</v>
      </c>
      <c r="D163" s="614">
        <v>1.5471650129276877E-2</v>
      </c>
      <c r="E163" s="614">
        <v>2.2492373537312722E-2</v>
      </c>
      <c r="F163" s="614">
        <v>4.390950786459951E-2</v>
      </c>
      <c r="G163" s="614">
        <v>2.056764029515231E-2</v>
      </c>
      <c r="H163" s="614">
        <v>0.10332501517501858</v>
      </c>
      <c r="I163" s="613">
        <v>1.783368590469445E-2</v>
      </c>
      <c r="J163" s="613">
        <v>0.13490465599207302</v>
      </c>
      <c r="K163" s="614">
        <v>9.7414095524067101E-2</v>
      </c>
      <c r="L163" s="614">
        <v>0.11124156647232099</v>
      </c>
      <c r="M163" s="614">
        <v>5.3105710400248807E-2</v>
      </c>
      <c r="N163" s="613">
        <v>0.10069344469145602</v>
      </c>
      <c r="O163" s="617">
        <v>0</v>
      </c>
      <c r="P163" s="614">
        <v>0</v>
      </c>
      <c r="Q163" s="614">
        <v>0</v>
      </c>
      <c r="R163" s="613">
        <v>0</v>
      </c>
      <c r="S163" s="615">
        <v>0.38255787817487064</v>
      </c>
      <c r="T163" s="615">
        <v>0.38255787817487064</v>
      </c>
      <c r="U163" s="615">
        <v>0.10650793892160162</v>
      </c>
      <c r="V163" s="615">
        <v>0.10650793892160162</v>
      </c>
      <c r="W163" s="615">
        <v>9.7229243345521951E-2</v>
      </c>
      <c r="X163" s="615">
        <v>9.7229243345521951E-2</v>
      </c>
      <c r="Y163" s="615">
        <v>0.14329300687624297</v>
      </c>
      <c r="Z163" s="615">
        <v>0.14329300687624297</v>
      </c>
      <c r="AA163" s="615">
        <v>0</v>
      </c>
      <c r="AB163" s="616">
        <v>0</v>
      </c>
    </row>
    <row r="164" spans="1:34" s="74" customFormat="1">
      <c r="A164" s="443"/>
      <c r="B164" s="444" t="s">
        <v>439</v>
      </c>
      <c r="C164" s="445">
        <v>0</v>
      </c>
      <c r="D164" s="446">
        <v>0</v>
      </c>
      <c r="E164" s="446">
        <v>0</v>
      </c>
      <c r="F164" s="446">
        <v>0</v>
      </c>
      <c r="G164" s="446">
        <v>0</v>
      </c>
      <c r="H164" s="446">
        <v>0</v>
      </c>
      <c r="I164" s="445">
        <v>0</v>
      </c>
      <c r="J164" s="445">
        <v>432.57111111111112</v>
      </c>
      <c r="K164" s="446">
        <v>11184.095555555557</v>
      </c>
      <c r="L164" s="446">
        <v>7365.1255555555545</v>
      </c>
      <c r="M164" s="446">
        <v>1154.8200000000002</v>
      </c>
      <c r="N164" s="445">
        <v>20136.612222222222</v>
      </c>
      <c r="O164" s="618"/>
      <c r="P164" s="446"/>
      <c r="Q164" s="446"/>
      <c r="R164" s="445"/>
      <c r="S164" s="604">
        <v>0</v>
      </c>
      <c r="T164" s="604">
        <v>0</v>
      </c>
      <c r="U164" s="604">
        <v>5743.7722222222219</v>
      </c>
      <c r="V164" s="604">
        <v>5743.7722222222219</v>
      </c>
      <c r="W164" s="604">
        <v>2870.4377777777777</v>
      </c>
      <c r="X164" s="604">
        <v>2870.4377777777777</v>
      </c>
      <c r="Y164" s="604">
        <v>2873.3344444444447</v>
      </c>
      <c r="Z164" s="604">
        <v>2873.3344444444447</v>
      </c>
      <c r="AA164" s="604"/>
      <c r="AB164" s="606"/>
    </row>
    <row r="165" spans="1:34" s="74" customFormat="1">
      <c r="A165" s="443"/>
      <c r="B165" s="444" t="s">
        <v>437</v>
      </c>
      <c r="C165" s="445">
        <v>0</v>
      </c>
      <c r="D165" s="446">
        <v>0</v>
      </c>
      <c r="E165" s="446">
        <v>0</v>
      </c>
      <c r="F165" s="446">
        <v>0</v>
      </c>
      <c r="G165" s="446">
        <v>0</v>
      </c>
      <c r="H165" s="446">
        <v>0</v>
      </c>
      <c r="I165" s="445">
        <v>0</v>
      </c>
      <c r="J165" s="445">
        <v>471.12666666666667</v>
      </c>
      <c r="K165" s="446">
        <v>11150.355555555554</v>
      </c>
      <c r="L165" s="446">
        <v>7683.2433333333329</v>
      </c>
      <c r="M165" s="446">
        <v>977.92555555555555</v>
      </c>
      <c r="N165" s="445">
        <v>20282.65111111111</v>
      </c>
      <c r="O165" s="618"/>
      <c r="P165" s="446"/>
      <c r="Q165" s="446"/>
      <c r="R165" s="445"/>
      <c r="S165" s="604">
        <v>10.053333333333333</v>
      </c>
      <c r="T165" s="604">
        <v>10.053333333333333</v>
      </c>
      <c r="U165" s="604">
        <v>6106.6311111111108</v>
      </c>
      <c r="V165" s="604">
        <v>6106.6311111111108</v>
      </c>
      <c r="W165" s="604">
        <v>2849.6066666666666</v>
      </c>
      <c r="X165" s="604">
        <v>2849.6066666666666</v>
      </c>
      <c r="Y165" s="604">
        <v>3246.971111111111</v>
      </c>
      <c r="Z165" s="604">
        <v>3246.971111111111</v>
      </c>
      <c r="AA165" s="604"/>
      <c r="AB165" s="606"/>
    </row>
    <row r="166" spans="1:34" s="74" customFormat="1">
      <c r="A166" s="443"/>
      <c r="B166" s="447" t="s">
        <v>457</v>
      </c>
      <c r="C166" s="613">
        <v>0</v>
      </c>
      <c r="D166" s="614">
        <v>0</v>
      </c>
      <c r="E166" s="614">
        <v>0</v>
      </c>
      <c r="F166" s="614">
        <v>0</v>
      </c>
      <c r="G166" s="614">
        <v>0</v>
      </c>
      <c r="H166" s="614">
        <v>0</v>
      </c>
      <c r="I166" s="613">
        <v>0</v>
      </c>
      <c r="J166" s="613">
        <v>8.9131138361322707E-2</v>
      </c>
      <c r="K166" s="614">
        <v>-3.0167839529271104E-3</v>
      </c>
      <c r="L166" s="614">
        <v>4.3192444633590864E-2</v>
      </c>
      <c r="M166" s="614">
        <v>-0.15317923524397273</v>
      </c>
      <c r="N166" s="613">
        <v>7.2524060788988695E-3</v>
      </c>
      <c r="O166" s="617">
        <v>0</v>
      </c>
      <c r="P166" s="614">
        <v>0</v>
      </c>
      <c r="Q166" s="614">
        <v>0</v>
      </c>
      <c r="R166" s="613">
        <v>0</v>
      </c>
      <c r="S166" s="615">
        <v>0</v>
      </c>
      <c r="T166" s="615">
        <v>0</v>
      </c>
      <c r="U166" s="615">
        <v>6.3174317304055899E-2</v>
      </c>
      <c r="V166" s="615">
        <v>6.3174317304055899E-2</v>
      </c>
      <c r="W166" s="615">
        <v>-7.2571198973133801E-3</v>
      </c>
      <c r="X166" s="615">
        <v>-7.2571198973133801E-3</v>
      </c>
      <c r="Y166" s="615">
        <v>0.13003591259245439</v>
      </c>
      <c r="Z166" s="615">
        <v>0.13003591259245439</v>
      </c>
      <c r="AA166" s="615">
        <v>0</v>
      </c>
      <c r="AB166" s="616">
        <v>0</v>
      </c>
      <c r="AC166" s="368"/>
      <c r="AD166" s="368" t="s">
        <v>931</v>
      </c>
      <c r="AE166" s="368" t="s">
        <v>43</v>
      </c>
      <c r="AF166" s="368" t="s">
        <v>44</v>
      </c>
      <c r="AG166" s="74" t="s">
        <v>604</v>
      </c>
      <c r="AH166" s="74" t="s">
        <v>605</v>
      </c>
    </row>
    <row r="167" spans="1:34" s="74" customFormat="1">
      <c r="A167" s="443"/>
      <c r="B167" s="444" t="s">
        <v>445</v>
      </c>
      <c r="C167" s="445">
        <v>41315.916666666672</v>
      </c>
      <c r="D167" s="446">
        <v>7942.375</v>
      </c>
      <c r="E167" s="446">
        <v>25123.374999999996</v>
      </c>
      <c r="F167" s="446">
        <v>2179.583333333333</v>
      </c>
      <c r="G167" s="446">
        <v>206.25</v>
      </c>
      <c r="H167" s="446">
        <v>34.333333333333336</v>
      </c>
      <c r="I167" s="445">
        <v>76801.833333333328</v>
      </c>
      <c r="J167" s="445">
        <v>0</v>
      </c>
      <c r="K167" s="446">
        <v>0</v>
      </c>
      <c r="L167" s="446">
        <v>0</v>
      </c>
      <c r="M167" s="446">
        <v>0</v>
      </c>
      <c r="N167" s="445">
        <v>0</v>
      </c>
      <c r="O167" s="618"/>
      <c r="P167" s="446"/>
      <c r="Q167" s="446"/>
      <c r="R167" s="445"/>
      <c r="S167" s="604">
        <v>0</v>
      </c>
      <c r="T167" s="604">
        <v>0</v>
      </c>
      <c r="U167" s="604">
        <v>0</v>
      </c>
      <c r="V167" s="604">
        <v>0</v>
      </c>
      <c r="W167" s="604">
        <v>0</v>
      </c>
      <c r="X167" s="604">
        <v>0</v>
      </c>
      <c r="Y167" s="604">
        <v>0</v>
      </c>
      <c r="Z167" s="604">
        <v>0</v>
      </c>
      <c r="AA167" s="604"/>
      <c r="AB167" s="606"/>
      <c r="AD167" s="74">
        <f>+GETPIVOTDATA("Grand Total FTE - New",$A$2,"State","TX","Category","8","Category2","Two-Year")-GETPIVOTDATA("Grand Total FTE - New",$A$2,"State","TX","Category","08b","Category2","08b")</f>
        <v>248498.81555555557</v>
      </c>
      <c r="AE167" s="74">
        <f>+GETPIVOTDATA("Grand Total FTE - New",$A$2,"State","TX","Category","9","Category2","Two-Year")-GETPIVOTDATA("Grand Total FTE - New",$A$2,"State","TX","Category","09b","Category2","09b")</f>
        <v>85407.005555555559</v>
      </c>
      <c r="AF167" s="74">
        <f>+GETPIVOTDATA("Grand Total FTE - New",$A$2,"State","TX","Category","10","Category2","Two-Year")-GETPIVOTDATA("Grand Total FTE - New",$A$2,"State","TX","Category","10b","Category2","10b")</f>
        <v>14780.805555555555</v>
      </c>
      <c r="AG167" s="74">
        <f>+GETPIVOTDATA("Grand Total FTE - New",$A$2,"State","TX","Category","11b","Category2","11b")</f>
        <v>88576.364444444451</v>
      </c>
      <c r="AH167" s="74">
        <f>SUM(AB167:AG167)</f>
        <v>437262.99111111113</v>
      </c>
    </row>
    <row r="168" spans="1:34" s="74" customFormat="1">
      <c r="A168" s="443"/>
      <c r="B168" s="444" t="s">
        <v>447</v>
      </c>
      <c r="C168" s="445">
        <v>42659.624999999993</v>
      </c>
      <c r="D168" s="446">
        <v>8449.2083333333321</v>
      </c>
      <c r="E168" s="446">
        <v>26153.791666666668</v>
      </c>
      <c r="F168" s="446">
        <v>2335.1666666666665</v>
      </c>
      <c r="G168" s="446">
        <v>228.75</v>
      </c>
      <c r="H168" s="446">
        <v>36.416666666666664</v>
      </c>
      <c r="I168" s="445">
        <v>79862.958333333343</v>
      </c>
      <c r="J168" s="445">
        <v>0</v>
      </c>
      <c r="K168" s="446">
        <v>0</v>
      </c>
      <c r="L168" s="446">
        <v>0</v>
      </c>
      <c r="M168" s="446">
        <v>0</v>
      </c>
      <c r="N168" s="445">
        <v>0</v>
      </c>
      <c r="O168" s="618"/>
      <c r="P168" s="446"/>
      <c r="Q168" s="446"/>
      <c r="R168" s="445"/>
      <c r="S168" s="604">
        <v>0</v>
      </c>
      <c r="T168" s="604">
        <v>0</v>
      </c>
      <c r="U168" s="604">
        <v>0</v>
      </c>
      <c r="V168" s="604">
        <v>0</v>
      </c>
      <c r="W168" s="604">
        <v>0</v>
      </c>
      <c r="X168" s="604">
        <v>0</v>
      </c>
      <c r="Y168" s="604">
        <v>0</v>
      </c>
      <c r="Z168" s="604">
        <v>0</v>
      </c>
      <c r="AA168" s="604"/>
      <c r="AB168" s="606"/>
    </row>
    <row r="169" spans="1:34" s="74" customFormat="1">
      <c r="A169" s="443"/>
      <c r="B169" s="447" t="s">
        <v>449</v>
      </c>
      <c r="C169" s="613">
        <v>3.2522776734551159E-2</v>
      </c>
      <c r="D169" s="614">
        <v>6.3813825629403312E-2</v>
      </c>
      <c r="E169" s="614">
        <v>4.1014261287214464E-2</v>
      </c>
      <c r="F169" s="614">
        <v>7.1382144905371897E-2</v>
      </c>
      <c r="G169" s="614">
        <v>0.10909090909090909</v>
      </c>
      <c r="H169" s="614">
        <v>6.0679611650485292E-2</v>
      </c>
      <c r="I169" s="613">
        <v>3.985744697934767E-2</v>
      </c>
      <c r="J169" s="613">
        <v>0</v>
      </c>
      <c r="K169" s="614">
        <v>0</v>
      </c>
      <c r="L169" s="614">
        <v>0</v>
      </c>
      <c r="M169" s="614">
        <v>0</v>
      </c>
      <c r="N169" s="613">
        <v>0</v>
      </c>
      <c r="O169" s="617">
        <v>0</v>
      </c>
      <c r="P169" s="614">
        <v>0</v>
      </c>
      <c r="Q169" s="614">
        <v>0</v>
      </c>
      <c r="R169" s="613">
        <v>0</v>
      </c>
      <c r="S169" s="615">
        <v>0</v>
      </c>
      <c r="T169" s="615">
        <v>0</v>
      </c>
      <c r="U169" s="615">
        <v>0</v>
      </c>
      <c r="V169" s="615">
        <v>0</v>
      </c>
      <c r="W169" s="615">
        <v>0</v>
      </c>
      <c r="X169" s="615">
        <v>0</v>
      </c>
      <c r="Y169" s="615">
        <v>0</v>
      </c>
      <c r="Z169" s="615">
        <v>0</v>
      </c>
      <c r="AA169" s="615">
        <v>0</v>
      </c>
      <c r="AB169" s="616">
        <v>0</v>
      </c>
      <c r="AC169" s="368"/>
      <c r="AD169" s="368" t="s">
        <v>931</v>
      </c>
      <c r="AE169" s="368" t="s">
        <v>43</v>
      </c>
      <c r="AF169" s="368" t="s">
        <v>44</v>
      </c>
      <c r="AG169" s="74" t="s">
        <v>604</v>
      </c>
      <c r="AH169" s="74" t="s">
        <v>605</v>
      </c>
    </row>
    <row r="170" spans="1:34" s="74" customFormat="1">
      <c r="A170" s="443"/>
      <c r="B170" s="444" t="s">
        <v>49</v>
      </c>
      <c r="C170" s="445">
        <v>203537.75</v>
      </c>
      <c r="D170" s="446">
        <v>48050.141666666663</v>
      </c>
      <c r="E170" s="446">
        <v>151044.57499999998</v>
      </c>
      <c r="F170" s="446">
        <v>9287.3833333333332</v>
      </c>
      <c r="G170" s="446">
        <v>9236.6166666666668</v>
      </c>
      <c r="H170" s="446">
        <v>1517.0333333333333</v>
      </c>
      <c r="I170" s="445">
        <v>422673.5</v>
      </c>
      <c r="J170" s="445">
        <v>19405.971111111114</v>
      </c>
      <c r="K170" s="446">
        <v>291109.36222222226</v>
      </c>
      <c r="L170" s="446">
        <v>93786.058888888874</v>
      </c>
      <c r="M170" s="446">
        <v>14660.586666666666</v>
      </c>
      <c r="N170" s="445">
        <v>418961.9788888889</v>
      </c>
      <c r="O170" s="618"/>
      <c r="P170" s="446"/>
      <c r="Q170" s="446"/>
      <c r="R170" s="445"/>
      <c r="S170" s="604">
        <v>296.60000000000002</v>
      </c>
      <c r="T170" s="604">
        <v>296.60000000000002</v>
      </c>
      <c r="U170" s="604">
        <v>80275.305555555577</v>
      </c>
      <c r="V170" s="604">
        <v>80275.305555555577</v>
      </c>
      <c r="W170" s="604">
        <v>63929.571111111116</v>
      </c>
      <c r="X170" s="604">
        <v>63929.571111111116</v>
      </c>
      <c r="Y170" s="604">
        <v>16049.134444444444</v>
      </c>
      <c r="Z170" s="604">
        <v>16049.134444444444</v>
      </c>
      <c r="AA170" s="604"/>
      <c r="AB170" s="606"/>
      <c r="AD170" s="74">
        <f>+GETPIVOTDATA("Grand Total FTE - Old",$A$2,"State","TX","Category","8","Category2","Two-Year")-GETPIVOTDATA("Grand Total FTE - Old",$A$2,"State","TX","Category","08b","Category2","08b")</f>
        <v>227179.79111111115</v>
      </c>
      <c r="AE170" s="74">
        <f>+GETPIVOTDATA("Grand Total FTE - Old",$A$2,"State","TX","Category","9","Category2","Two-Year")-GETPIVOTDATA("Grand Total FTE - Old",$A$2,"State","TX","Category","09b","Category2","09b")</f>
        <v>77736.924444444434</v>
      </c>
      <c r="AF170" s="74">
        <f>+GETPIVOTDATA("Grand Total FTE - Old",$A$2,"State","TX","Category","10","Category2","Two-Year")-GETPIVOTDATA("Grand Total FTE - Old",$A$2,"State","TX","Category","10b","Category2","10b")</f>
        <v>14363.986666666666</v>
      </c>
      <c r="AG170" s="74">
        <f>+GETPIVOTDATA("Grand Total FTE - Old",$A$2,"State","TX","Category","11b","Category2","11b")</f>
        <v>80275.305555555577</v>
      </c>
      <c r="AH170" s="74">
        <f>SUM(AB170:AG170)</f>
        <v>399556.00777777785</v>
      </c>
    </row>
    <row r="171" spans="1:34" s="74" customFormat="1">
      <c r="A171" s="443"/>
      <c r="B171" s="444" t="s">
        <v>451</v>
      </c>
      <c r="C171" s="445">
        <v>206945.79166666666</v>
      </c>
      <c r="D171" s="446">
        <v>49177.508333333331</v>
      </c>
      <c r="E171" s="446">
        <v>154907.25833333333</v>
      </c>
      <c r="F171" s="446">
        <v>9755.0666666666657</v>
      </c>
      <c r="G171" s="446">
        <v>9444.85</v>
      </c>
      <c r="H171" s="446">
        <v>1672.3166666666668</v>
      </c>
      <c r="I171" s="445">
        <v>431902.79166666663</v>
      </c>
      <c r="J171" s="445">
        <v>22004.126666666667</v>
      </c>
      <c r="K171" s="446">
        <v>318344.2888888889</v>
      </c>
      <c r="L171" s="446">
        <v>103717.77666666667</v>
      </c>
      <c r="M171" s="446">
        <v>15200.925555555556</v>
      </c>
      <c r="N171" s="445">
        <v>459267.11777777778</v>
      </c>
      <c r="O171" s="618"/>
      <c r="P171" s="446"/>
      <c r="Q171" s="446"/>
      <c r="R171" s="445"/>
      <c r="S171" s="604">
        <v>420.12</v>
      </c>
      <c r="T171" s="604">
        <v>420.12</v>
      </c>
      <c r="U171" s="604">
        <v>88576.364444444451</v>
      </c>
      <c r="V171" s="604">
        <v>88576.364444444451</v>
      </c>
      <c r="W171" s="604">
        <v>69845.473333333328</v>
      </c>
      <c r="X171" s="604">
        <v>69845.473333333328</v>
      </c>
      <c r="Y171" s="604">
        <v>18310.771111111113</v>
      </c>
      <c r="Z171" s="604">
        <v>18310.771111111113</v>
      </c>
      <c r="AA171" s="604"/>
      <c r="AB171" s="606"/>
    </row>
    <row r="172" spans="1:34" s="74" customFormat="1">
      <c r="A172" s="443"/>
      <c r="B172" s="447" t="s">
        <v>453</v>
      </c>
      <c r="C172" s="613">
        <v>1.6744027418337172E-2</v>
      </c>
      <c r="D172" s="614">
        <v>2.3462296417093506E-2</v>
      </c>
      <c r="E172" s="614">
        <v>2.5573135171080123E-2</v>
      </c>
      <c r="F172" s="614">
        <v>5.035684611560836E-2</v>
      </c>
      <c r="G172" s="614">
        <v>2.2544329904348119E-2</v>
      </c>
      <c r="H172" s="614">
        <v>0.10235986904264917</v>
      </c>
      <c r="I172" s="613">
        <v>2.183551054576776E-2</v>
      </c>
      <c r="J172" s="613">
        <v>0.13388433594379356</v>
      </c>
      <c r="K172" s="614">
        <v>9.3555653651140519E-2</v>
      </c>
      <c r="L172" s="614">
        <v>0.10589759176834798</v>
      </c>
      <c r="M172" s="614">
        <v>3.6856566600942491E-2</v>
      </c>
      <c r="N172" s="613">
        <v>9.6202378544660794E-2</v>
      </c>
      <c r="O172" s="619">
        <v>0</v>
      </c>
      <c r="P172" s="614">
        <v>0</v>
      </c>
      <c r="Q172" s="614">
        <v>0</v>
      </c>
      <c r="R172" s="613">
        <v>0</v>
      </c>
      <c r="S172" s="615">
        <v>0.41645313553607544</v>
      </c>
      <c r="T172" s="615">
        <v>0.41645313553607544</v>
      </c>
      <c r="U172" s="615">
        <v>0.10340737828950421</v>
      </c>
      <c r="V172" s="615">
        <v>0.10340737828950421</v>
      </c>
      <c r="W172" s="615">
        <v>9.2537805578896085E-2</v>
      </c>
      <c r="X172" s="615">
        <v>9.2537805578896085E-2</v>
      </c>
      <c r="Y172" s="615">
        <v>0.14091954145536836</v>
      </c>
      <c r="Z172" s="615">
        <v>0.14091954145536836</v>
      </c>
      <c r="AA172" s="615">
        <v>0</v>
      </c>
      <c r="AB172" s="616">
        <v>0</v>
      </c>
    </row>
    <row r="173" spans="1:34" s="74" customFormat="1">
      <c r="A173" s="442" t="s">
        <v>725</v>
      </c>
      <c r="B173" s="440" t="s">
        <v>443</v>
      </c>
      <c r="C173" s="437">
        <v>70537.416666666657</v>
      </c>
      <c r="D173" s="441">
        <v>25859.116666666669</v>
      </c>
      <c r="E173" s="441">
        <v>21437.399999999998</v>
      </c>
      <c r="F173" s="441">
        <v>12214.8</v>
      </c>
      <c r="G173" s="441">
        <v>12483.999999999998</v>
      </c>
      <c r="H173" s="441">
        <v>1624.3</v>
      </c>
      <c r="I173" s="437">
        <v>144157.0333333333</v>
      </c>
      <c r="J173" s="437"/>
      <c r="K173" s="441">
        <v>58434.233333333337</v>
      </c>
      <c r="L173" s="441">
        <v>34618.466666666667</v>
      </c>
      <c r="M173" s="441">
        <v>12267.699999999999</v>
      </c>
      <c r="N173" s="437">
        <v>105320.40000000001</v>
      </c>
      <c r="O173" s="437"/>
      <c r="P173" s="441"/>
      <c r="Q173" s="441"/>
      <c r="R173" s="437"/>
      <c r="S173" s="603">
        <v>1022.4333333333333</v>
      </c>
      <c r="T173" s="603">
        <v>1022.4333333333333</v>
      </c>
      <c r="U173" s="603">
        <v>97219.03333333334</v>
      </c>
      <c r="V173" s="603">
        <v>97219.03333333334</v>
      </c>
      <c r="W173" s="603"/>
      <c r="X173" s="603"/>
      <c r="Y173" s="603"/>
      <c r="Z173" s="603"/>
      <c r="AA173" s="603"/>
      <c r="AB173" s="605"/>
    </row>
    <row r="174" spans="1:34" s="74" customFormat="1">
      <c r="A174" s="443"/>
      <c r="B174" s="444" t="s">
        <v>441</v>
      </c>
      <c r="C174" s="445">
        <v>74274.633333333331</v>
      </c>
      <c r="D174" s="446">
        <v>27350.283333333333</v>
      </c>
      <c r="E174" s="446">
        <v>22850.633333333335</v>
      </c>
      <c r="F174" s="446">
        <v>13078.7</v>
      </c>
      <c r="G174" s="446">
        <v>13042.833333333332</v>
      </c>
      <c r="H174" s="446">
        <v>1729.0833333333333</v>
      </c>
      <c r="I174" s="445">
        <v>152326.16666666669</v>
      </c>
      <c r="J174" s="445"/>
      <c r="K174" s="446">
        <v>64904.333333333328</v>
      </c>
      <c r="L174" s="446">
        <v>36315.5</v>
      </c>
      <c r="M174" s="446">
        <v>16512.366666666669</v>
      </c>
      <c r="N174" s="445">
        <v>117732.2</v>
      </c>
      <c r="O174" s="445"/>
      <c r="P174" s="446"/>
      <c r="Q174" s="446"/>
      <c r="R174" s="445"/>
      <c r="S174" s="604">
        <v>0</v>
      </c>
      <c r="T174" s="604">
        <v>0</v>
      </c>
      <c r="U174" s="604">
        <v>0</v>
      </c>
      <c r="V174" s="604">
        <v>0</v>
      </c>
      <c r="W174" s="604"/>
      <c r="X174" s="604"/>
      <c r="Y174" s="604"/>
      <c r="Z174" s="604"/>
      <c r="AA174" s="604"/>
      <c r="AB174" s="606"/>
    </row>
    <row r="175" spans="1:34" s="74" customFormat="1">
      <c r="A175" s="443"/>
      <c r="B175" s="447" t="s">
        <v>455</v>
      </c>
      <c r="C175" s="613">
        <v>5.2982046171712767E-2</v>
      </c>
      <c r="D175" s="614">
        <v>5.7665027227663646E-2</v>
      </c>
      <c r="E175" s="614">
        <v>6.5923728312824198E-2</v>
      </c>
      <c r="F175" s="614">
        <v>7.0725677047516256E-2</v>
      </c>
      <c r="G175" s="614">
        <v>4.4763964541279559E-2</v>
      </c>
      <c r="H175" s="614">
        <v>6.4509840136263805E-2</v>
      </c>
      <c r="I175" s="613">
        <v>5.6668295291870778E-2</v>
      </c>
      <c r="J175" s="613">
        <v>0</v>
      </c>
      <c r="K175" s="614">
        <v>0.11072447828812661</v>
      </c>
      <c r="L175" s="614">
        <v>4.9021042719011226E-2</v>
      </c>
      <c r="M175" s="625">
        <v>0.34600346166491436</v>
      </c>
      <c r="N175" s="613">
        <v>0.11784801424985081</v>
      </c>
      <c r="O175" s="617">
        <v>0</v>
      </c>
      <c r="P175" s="614">
        <v>0</v>
      </c>
      <c r="Q175" s="614">
        <v>0</v>
      </c>
      <c r="R175" s="613">
        <v>0</v>
      </c>
      <c r="S175" s="615">
        <v>-1</v>
      </c>
      <c r="T175" s="615">
        <v>-1</v>
      </c>
      <c r="U175" s="615">
        <v>-1</v>
      </c>
      <c r="V175" s="615">
        <v>-1</v>
      </c>
      <c r="W175" s="615">
        <v>0</v>
      </c>
      <c r="X175" s="615">
        <v>0</v>
      </c>
      <c r="Y175" s="615">
        <v>0</v>
      </c>
      <c r="Z175" s="615">
        <v>0</v>
      </c>
      <c r="AA175" s="615">
        <v>0</v>
      </c>
      <c r="AB175" s="616">
        <v>0</v>
      </c>
    </row>
    <row r="176" spans="1:34" s="74" customFormat="1">
      <c r="A176" s="443"/>
      <c r="B176" s="444" t="s">
        <v>439</v>
      </c>
      <c r="C176" s="445">
        <v>0</v>
      </c>
      <c r="D176" s="446">
        <v>0</v>
      </c>
      <c r="E176" s="446">
        <v>0</v>
      </c>
      <c r="F176" s="446">
        <v>0</v>
      </c>
      <c r="G176" s="446">
        <v>0</v>
      </c>
      <c r="H176" s="446">
        <v>0</v>
      </c>
      <c r="I176" s="445">
        <v>0</v>
      </c>
      <c r="J176" s="445"/>
      <c r="K176" s="446">
        <v>0</v>
      </c>
      <c r="L176" s="446">
        <v>0</v>
      </c>
      <c r="M176" s="446">
        <v>0</v>
      </c>
      <c r="N176" s="445">
        <v>0</v>
      </c>
      <c r="O176" s="618"/>
      <c r="P176" s="446"/>
      <c r="Q176" s="446"/>
      <c r="R176" s="445"/>
      <c r="S176" s="604">
        <v>0</v>
      </c>
      <c r="T176" s="604">
        <v>0</v>
      </c>
      <c r="U176" s="604">
        <v>0</v>
      </c>
      <c r="V176" s="604">
        <v>0</v>
      </c>
      <c r="W176" s="604"/>
      <c r="X176" s="604"/>
      <c r="Y176" s="604"/>
      <c r="Z176" s="604"/>
      <c r="AA176" s="604"/>
      <c r="AB176" s="606"/>
    </row>
    <row r="177" spans="1:28" s="74" customFormat="1">
      <c r="A177" s="443"/>
      <c r="B177" s="444" t="s">
        <v>437</v>
      </c>
      <c r="C177" s="445">
        <v>0</v>
      </c>
      <c r="D177" s="446">
        <v>0</v>
      </c>
      <c r="E177" s="446">
        <v>0</v>
      </c>
      <c r="F177" s="446">
        <v>0</v>
      </c>
      <c r="G177" s="446">
        <v>0</v>
      </c>
      <c r="H177" s="446">
        <v>0</v>
      </c>
      <c r="I177" s="445">
        <v>0</v>
      </c>
      <c r="J177" s="445"/>
      <c r="K177" s="446">
        <v>0</v>
      </c>
      <c r="L177" s="446">
        <v>0</v>
      </c>
      <c r="M177" s="446">
        <v>0</v>
      </c>
      <c r="N177" s="445">
        <v>0</v>
      </c>
      <c r="O177" s="618"/>
      <c r="P177" s="446"/>
      <c r="Q177" s="446"/>
      <c r="R177" s="445"/>
      <c r="S177" s="604">
        <v>0</v>
      </c>
      <c r="T177" s="604">
        <v>0</v>
      </c>
      <c r="U177" s="604">
        <v>0</v>
      </c>
      <c r="V177" s="604">
        <v>0</v>
      </c>
      <c r="W177" s="604"/>
      <c r="X177" s="604"/>
      <c r="Y177" s="604"/>
      <c r="Z177" s="604"/>
      <c r="AA177" s="604"/>
      <c r="AB177" s="606"/>
    </row>
    <row r="178" spans="1:28" s="74" customFormat="1">
      <c r="A178" s="443"/>
      <c r="B178" s="447" t="s">
        <v>457</v>
      </c>
      <c r="C178" s="613">
        <v>0</v>
      </c>
      <c r="D178" s="614">
        <v>0</v>
      </c>
      <c r="E178" s="614">
        <v>0</v>
      </c>
      <c r="F178" s="614">
        <v>0</v>
      </c>
      <c r="G178" s="614">
        <v>0</v>
      </c>
      <c r="H178" s="614">
        <v>0</v>
      </c>
      <c r="I178" s="613">
        <v>0</v>
      </c>
      <c r="J178" s="613">
        <v>0</v>
      </c>
      <c r="K178" s="614">
        <v>0</v>
      </c>
      <c r="L178" s="614">
        <v>0</v>
      </c>
      <c r="M178" s="614">
        <v>0</v>
      </c>
      <c r="N178" s="613">
        <v>0</v>
      </c>
      <c r="O178" s="617">
        <v>0</v>
      </c>
      <c r="P178" s="614">
        <v>0</v>
      </c>
      <c r="Q178" s="614">
        <v>0</v>
      </c>
      <c r="R178" s="613">
        <v>0</v>
      </c>
      <c r="S178" s="615">
        <v>0</v>
      </c>
      <c r="T178" s="615">
        <v>0</v>
      </c>
      <c r="U178" s="615">
        <v>0</v>
      </c>
      <c r="V178" s="615">
        <v>0</v>
      </c>
      <c r="W178" s="615">
        <v>0</v>
      </c>
      <c r="X178" s="615">
        <v>0</v>
      </c>
      <c r="Y178" s="615">
        <v>0</v>
      </c>
      <c r="Z178" s="615">
        <v>0</v>
      </c>
      <c r="AA178" s="615">
        <v>0</v>
      </c>
      <c r="AB178" s="616">
        <v>0</v>
      </c>
    </row>
    <row r="179" spans="1:28" s="74" customFormat="1">
      <c r="A179" s="443"/>
      <c r="B179" s="444" t="s">
        <v>445</v>
      </c>
      <c r="C179" s="445">
        <v>23998.083333333332</v>
      </c>
      <c r="D179" s="446">
        <v>8211.5416666666679</v>
      </c>
      <c r="E179" s="446">
        <v>1770.5</v>
      </c>
      <c r="F179" s="446">
        <v>1123.6666666666667</v>
      </c>
      <c r="G179" s="446">
        <v>940.58333333333326</v>
      </c>
      <c r="H179" s="446">
        <v>0</v>
      </c>
      <c r="I179" s="445">
        <v>36044.375</v>
      </c>
      <c r="J179" s="445"/>
      <c r="K179" s="446">
        <v>0</v>
      </c>
      <c r="L179" s="446">
        <v>0</v>
      </c>
      <c r="M179" s="446">
        <v>0</v>
      </c>
      <c r="N179" s="445">
        <v>0</v>
      </c>
      <c r="O179" s="618"/>
      <c r="P179" s="446"/>
      <c r="Q179" s="446"/>
      <c r="R179" s="445"/>
      <c r="S179" s="604">
        <v>0</v>
      </c>
      <c r="T179" s="604">
        <v>0</v>
      </c>
      <c r="U179" s="604">
        <v>0</v>
      </c>
      <c r="V179" s="604">
        <v>0</v>
      </c>
      <c r="W179" s="604"/>
      <c r="X179" s="604"/>
      <c r="Y179" s="604"/>
      <c r="Z179" s="604"/>
      <c r="AA179" s="604"/>
      <c r="AB179" s="606"/>
    </row>
    <row r="180" spans="1:28" s="74" customFormat="1">
      <c r="A180" s="443"/>
      <c r="B180" s="444" t="s">
        <v>447</v>
      </c>
      <c r="C180" s="445">
        <v>24532.833333333332</v>
      </c>
      <c r="D180" s="446">
        <v>8632.4166666666661</v>
      </c>
      <c r="E180" s="446">
        <v>1979.9583333333335</v>
      </c>
      <c r="F180" s="446">
        <v>1133.9583333333333</v>
      </c>
      <c r="G180" s="446">
        <v>974.625</v>
      </c>
      <c r="H180" s="446">
        <v>0</v>
      </c>
      <c r="I180" s="445">
        <v>37253.791666666672</v>
      </c>
      <c r="J180" s="445"/>
      <c r="K180" s="446">
        <v>0</v>
      </c>
      <c r="L180" s="446">
        <v>0</v>
      </c>
      <c r="M180" s="446">
        <v>0</v>
      </c>
      <c r="N180" s="445">
        <v>0</v>
      </c>
      <c r="O180" s="618"/>
      <c r="P180" s="446"/>
      <c r="Q180" s="446"/>
      <c r="R180" s="445"/>
      <c r="S180" s="604">
        <v>0</v>
      </c>
      <c r="T180" s="604">
        <v>0</v>
      </c>
      <c r="U180" s="604">
        <v>0</v>
      </c>
      <c r="V180" s="604">
        <v>0</v>
      </c>
      <c r="W180" s="604"/>
      <c r="X180" s="604"/>
      <c r="Y180" s="604"/>
      <c r="Z180" s="604"/>
      <c r="AA180" s="604"/>
      <c r="AB180" s="606"/>
    </row>
    <row r="181" spans="1:28" s="74" customFormat="1">
      <c r="A181" s="443"/>
      <c r="B181" s="447" t="s">
        <v>449</v>
      </c>
      <c r="C181" s="613">
        <v>2.2283029547498587E-2</v>
      </c>
      <c r="D181" s="625">
        <v>5.1254078355160444E-2</v>
      </c>
      <c r="E181" s="614">
        <v>0.11830462204650295</v>
      </c>
      <c r="F181" s="614">
        <v>9.1590032631265333E-3</v>
      </c>
      <c r="G181" s="614">
        <v>3.619207938336147E-2</v>
      </c>
      <c r="H181" s="614">
        <v>0</v>
      </c>
      <c r="I181" s="613">
        <v>3.3553547999282812E-2</v>
      </c>
      <c r="J181" s="613">
        <v>0</v>
      </c>
      <c r="K181" s="614">
        <v>0</v>
      </c>
      <c r="L181" s="614">
        <v>0</v>
      </c>
      <c r="M181" s="614">
        <v>0</v>
      </c>
      <c r="N181" s="613">
        <v>0</v>
      </c>
      <c r="O181" s="617">
        <v>0</v>
      </c>
      <c r="P181" s="614">
        <v>0</v>
      </c>
      <c r="Q181" s="614">
        <v>0</v>
      </c>
      <c r="R181" s="613">
        <v>0</v>
      </c>
      <c r="S181" s="615">
        <v>0</v>
      </c>
      <c r="T181" s="615">
        <v>0</v>
      </c>
      <c r="U181" s="615">
        <v>0</v>
      </c>
      <c r="V181" s="615">
        <v>0</v>
      </c>
      <c r="W181" s="615">
        <v>0</v>
      </c>
      <c r="X181" s="615">
        <v>0</v>
      </c>
      <c r="Y181" s="615">
        <v>0</v>
      </c>
      <c r="Z181" s="615">
        <v>0</v>
      </c>
      <c r="AA181" s="615">
        <v>0</v>
      </c>
      <c r="AB181" s="616">
        <v>0</v>
      </c>
    </row>
    <row r="182" spans="1:28" s="74" customFormat="1">
      <c r="A182" s="443"/>
      <c r="B182" s="444" t="s">
        <v>49</v>
      </c>
      <c r="C182" s="445">
        <v>94535.5</v>
      </c>
      <c r="D182" s="446">
        <v>34070.658333333333</v>
      </c>
      <c r="E182" s="446">
        <v>23207.899999999998</v>
      </c>
      <c r="F182" s="446">
        <v>13338.466666666667</v>
      </c>
      <c r="G182" s="446">
        <v>13424.583333333332</v>
      </c>
      <c r="H182" s="446">
        <v>1624.3</v>
      </c>
      <c r="I182" s="445">
        <v>180201.40833333333</v>
      </c>
      <c r="J182" s="445"/>
      <c r="K182" s="446">
        <v>58434.233333333337</v>
      </c>
      <c r="L182" s="446">
        <v>34618.466666666667</v>
      </c>
      <c r="M182" s="446">
        <v>12267.699999999999</v>
      </c>
      <c r="N182" s="445">
        <v>105320.40000000001</v>
      </c>
      <c r="O182" s="618"/>
      <c r="P182" s="446"/>
      <c r="Q182" s="446"/>
      <c r="R182" s="445"/>
      <c r="S182" s="604">
        <v>1022.4333333333333</v>
      </c>
      <c r="T182" s="604">
        <v>1022.4333333333333</v>
      </c>
      <c r="U182" s="604">
        <v>97219.03333333334</v>
      </c>
      <c r="V182" s="604">
        <v>97219.03333333334</v>
      </c>
      <c r="W182" s="604"/>
      <c r="X182" s="604"/>
      <c r="Y182" s="604"/>
      <c r="Z182" s="604"/>
      <c r="AA182" s="604"/>
      <c r="AB182" s="606"/>
    </row>
    <row r="183" spans="1:28" s="74" customFormat="1">
      <c r="A183" s="443"/>
      <c r="B183" s="444" t="s">
        <v>451</v>
      </c>
      <c r="C183" s="445">
        <v>98807.466666666645</v>
      </c>
      <c r="D183" s="446">
        <v>35982.699999999997</v>
      </c>
      <c r="E183" s="446">
        <v>24830.591666666671</v>
      </c>
      <c r="F183" s="446">
        <v>14212.658333333333</v>
      </c>
      <c r="G183" s="446">
        <v>14017.458333333332</v>
      </c>
      <c r="H183" s="446">
        <v>1729.0833333333333</v>
      </c>
      <c r="I183" s="445">
        <v>189579.95833333331</v>
      </c>
      <c r="J183" s="445"/>
      <c r="K183" s="446">
        <v>64904.333333333328</v>
      </c>
      <c r="L183" s="446">
        <v>36315.5</v>
      </c>
      <c r="M183" s="446">
        <v>16512.366666666669</v>
      </c>
      <c r="N183" s="445">
        <v>117732.2</v>
      </c>
      <c r="O183" s="618"/>
      <c r="P183" s="446"/>
      <c r="Q183" s="446"/>
      <c r="R183" s="445"/>
      <c r="S183" s="604">
        <v>0</v>
      </c>
      <c r="T183" s="604">
        <v>0</v>
      </c>
      <c r="U183" s="604">
        <v>0</v>
      </c>
      <c r="V183" s="604">
        <v>0</v>
      </c>
      <c r="W183" s="604"/>
      <c r="X183" s="604"/>
      <c r="Y183" s="604"/>
      <c r="Z183" s="604"/>
      <c r="AA183" s="604"/>
      <c r="AB183" s="606"/>
    </row>
    <row r="184" spans="1:28" s="74" customFormat="1">
      <c r="A184" s="443"/>
      <c r="B184" s="447" t="s">
        <v>453</v>
      </c>
      <c r="C184" s="613">
        <v>4.5189020702980844E-2</v>
      </c>
      <c r="D184" s="614">
        <v>5.6119892018523201E-2</v>
      </c>
      <c r="E184" s="614">
        <v>6.9919797425302299E-2</v>
      </c>
      <c r="F184" s="614">
        <v>6.5539142430164316E-2</v>
      </c>
      <c r="G184" s="614">
        <v>4.4163381855426925E-2</v>
      </c>
      <c r="H184" s="614">
        <v>6.4509840136263805E-2</v>
      </c>
      <c r="I184" s="613">
        <v>5.2044820774384215E-2</v>
      </c>
      <c r="J184" s="613">
        <v>0</v>
      </c>
      <c r="K184" s="614">
        <v>0.11072447828812661</v>
      </c>
      <c r="L184" s="614">
        <v>4.9021042719011226E-2</v>
      </c>
      <c r="M184" s="614">
        <v>0.34600346166491436</v>
      </c>
      <c r="N184" s="613">
        <v>0.11784801424985081</v>
      </c>
      <c r="O184" s="619">
        <v>0</v>
      </c>
      <c r="P184" s="614">
        <v>0</v>
      </c>
      <c r="Q184" s="614">
        <v>0</v>
      </c>
      <c r="R184" s="613">
        <v>0</v>
      </c>
      <c r="S184" s="615">
        <v>-1</v>
      </c>
      <c r="T184" s="615">
        <v>-1</v>
      </c>
      <c r="U184" s="615">
        <v>-1</v>
      </c>
      <c r="V184" s="615">
        <v>-1</v>
      </c>
      <c r="W184" s="615">
        <v>0</v>
      </c>
      <c r="X184" s="615">
        <v>0</v>
      </c>
      <c r="Y184" s="615">
        <v>0</v>
      </c>
      <c r="Z184" s="615">
        <v>0</v>
      </c>
      <c r="AA184" s="615">
        <v>0</v>
      </c>
      <c r="AB184" s="616">
        <v>0</v>
      </c>
    </row>
    <row r="185" spans="1:28" s="74" customFormat="1">
      <c r="A185" s="442" t="s">
        <v>706</v>
      </c>
      <c r="B185" s="440" t="s">
        <v>443</v>
      </c>
      <c r="C185" s="437">
        <v>20961.966666666667</v>
      </c>
      <c r="D185" s="441"/>
      <c r="E185" s="441">
        <v>8260.2333333333336</v>
      </c>
      <c r="F185" s="441"/>
      <c r="G185" s="441">
        <v>3775.6666666666665</v>
      </c>
      <c r="H185" s="441">
        <v>14869.536666666667</v>
      </c>
      <c r="I185" s="437">
        <v>47867.403333333335</v>
      </c>
      <c r="J185" s="437">
        <v>4014.6333333333332</v>
      </c>
      <c r="K185" s="441"/>
      <c r="L185" s="441"/>
      <c r="M185" s="441">
        <v>11857.45</v>
      </c>
      <c r="N185" s="437">
        <v>15872.083333333334</v>
      </c>
      <c r="O185" s="437"/>
      <c r="P185" s="441"/>
      <c r="Q185" s="441"/>
      <c r="R185" s="437"/>
      <c r="S185" s="603"/>
      <c r="T185" s="603"/>
      <c r="U185" s="603"/>
      <c r="V185" s="603"/>
      <c r="W185" s="603"/>
      <c r="X185" s="603"/>
      <c r="Y185" s="603"/>
      <c r="Z185" s="603"/>
      <c r="AA185" s="603"/>
      <c r="AB185" s="605"/>
    </row>
    <row r="186" spans="1:28" s="74" customFormat="1">
      <c r="A186" s="443"/>
      <c r="B186" s="444" t="s">
        <v>441</v>
      </c>
      <c r="C186" s="445">
        <v>21207.766666666666</v>
      </c>
      <c r="D186" s="446"/>
      <c r="E186" s="446">
        <v>8360.3666666666668</v>
      </c>
      <c r="F186" s="446"/>
      <c r="G186" s="446">
        <v>3842.6</v>
      </c>
      <c r="H186" s="446">
        <v>15439.15</v>
      </c>
      <c r="I186" s="445">
        <v>48849.883333333331</v>
      </c>
      <c r="J186" s="445">
        <v>4469.8333333333339</v>
      </c>
      <c r="K186" s="446"/>
      <c r="L186" s="446"/>
      <c r="M186" s="446">
        <v>13079.67</v>
      </c>
      <c r="N186" s="445">
        <v>17549.503333333334</v>
      </c>
      <c r="O186" s="445"/>
      <c r="P186" s="446"/>
      <c r="Q186" s="446"/>
      <c r="R186" s="445"/>
      <c r="S186" s="604"/>
      <c r="T186" s="604"/>
      <c r="U186" s="604"/>
      <c r="V186" s="604"/>
      <c r="W186" s="604"/>
      <c r="X186" s="604"/>
      <c r="Y186" s="604"/>
      <c r="Z186" s="604"/>
      <c r="AA186" s="604"/>
      <c r="AB186" s="606"/>
    </row>
    <row r="187" spans="1:28" s="74" customFormat="1">
      <c r="A187" s="443"/>
      <c r="B187" s="447" t="s">
        <v>455</v>
      </c>
      <c r="C187" s="613">
        <v>1.1725998991824841E-2</v>
      </c>
      <c r="D187" s="614">
        <v>0</v>
      </c>
      <c r="E187" s="614">
        <v>1.2122337141404385E-2</v>
      </c>
      <c r="F187" s="614">
        <v>0</v>
      </c>
      <c r="G187" s="614">
        <v>1.7727553632912528E-2</v>
      </c>
      <c r="H187" s="614">
        <v>3.830740298789849E-2</v>
      </c>
      <c r="I187" s="613">
        <v>2.0525032309739434E-2</v>
      </c>
      <c r="J187" s="613">
        <v>0.11338519914645606</v>
      </c>
      <c r="K187" s="614">
        <v>0</v>
      </c>
      <c r="L187" s="614">
        <v>0</v>
      </c>
      <c r="M187" s="614">
        <v>0.10307612513651748</v>
      </c>
      <c r="N187" s="613">
        <v>0.10568366891554878</v>
      </c>
      <c r="O187" s="617">
        <v>0</v>
      </c>
      <c r="P187" s="614">
        <v>0</v>
      </c>
      <c r="Q187" s="614">
        <v>0</v>
      </c>
      <c r="R187" s="613">
        <v>0</v>
      </c>
      <c r="S187" s="615">
        <v>0</v>
      </c>
      <c r="T187" s="615">
        <v>0</v>
      </c>
      <c r="U187" s="615">
        <v>0</v>
      </c>
      <c r="V187" s="615">
        <v>0</v>
      </c>
      <c r="W187" s="615">
        <v>0</v>
      </c>
      <c r="X187" s="615">
        <v>0</v>
      </c>
      <c r="Y187" s="615">
        <v>0</v>
      </c>
      <c r="Z187" s="615">
        <v>0</v>
      </c>
      <c r="AA187" s="615">
        <v>0</v>
      </c>
      <c r="AB187" s="616">
        <v>0</v>
      </c>
    </row>
    <row r="188" spans="1:28" s="74" customFormat="1">
      <c r="A188" s="443"/>
      <c r="B188" s="444" t="s">
        <v>439</v>
      </c>
      <c r="C188" s="445">
        <v>0</v>
      </c>
      <c r="D188" s="446"/>
      <c r="E188" s="446">
        <v>0</v>
      </c>
      <c r="F188" s="446"/>
      <c r="G188" s="446">
        <v>0</v>
      </c>
      <c r="H188" s="446">
        <v>0</v>
      </c>
      <c r="I188" s="445">
        <v>0</v>
      </c>
      <c r="J188" s="445">
        <v>0</v>
      </c>
      <c r="K188" s="446"/>
      <c r="L188" s="446"/>
      <c r="M188" s="446">
        <v>0</v>
      </c>
      <c r="N188" s="445">
        <v>0</v>
      </c>
      <c r="O188" s="618"/>
      <c r="P188" s="446"/>
      <c r="Q188" s="446"/>
      <c r="R188" s="445"/>
      <c r="S188" s="604"/>
      <c r="T188" s="604"/>
      <c r="U188" s="604"/>
      <c r="V188" s="604"/>
      <c r="W188" s="604"/>
      <c r="X188" s="604"/>
      <c r="Y188" s="604"/>
      <c r="Z188" s="604"/>
      <c r="AA188" s="604"/>
      <c r="AB188" s="606"/>
    </row>
    <row r="189" spans="1:28" s="74" customFormat="1">
      <c r="A189" s="443"/>
      <c r="B189" s="444" t="s">
        <v>437</v>
      </c>
      <c r="C189" s="445">
        <v>0</v>
      </c>
      <c r="D189" s="446"/>
      <c r="E189" s="446">
        <v>0</v>
      </c>
      <c r="F189" s="446"/>
      <c r="G189" s="446">
        <v>0</v>
      </c>
      <c r="H189" s="446">
        <v>0</v>
      </c>
      <c r="I189" s="445">
        <v>0</v>
      </c>
      <c r="J189" s="445">
        <v>0</v>
      </c>
      <c r="K189" s="446"/>
      <c r="L189" s="446"/>
      <c r="M189" s="446">
        <v>0</v>
      </c>
      <c r="N189" s="445">
        <v>0</v>
      </c>
      <c r="O189" s="618"/>
      <c r="P189" s="446"/>
      <c r="Q189" s="446"/>
      <c r="R189" s="445"/>
      <c r="S189" s="604"/>
      <c r="T189" s="604"/>
      <c r="U189" s="604"/>
      <c r="V189" s="604"/>
      <c r="W189" s="604"/>
      <c r="X189" s="604"/>
      <c r="Y189" s="604"/>
      <c r="Z189" s="604"/>
      <c r="AA189" s="604"/>
      <c r="AB189" s="606"/>
    </row>
    <row r="190" spans="1:28" s="74" customFormat="1">
      <c r="A190" s="443"/>
      <c r="B190" s="447" t="s">
        <v>457</v>
      </c>
      <c r="C190" s="613">
        <v>0</v>
      </c>
      <c r="D190" s="614">
        <v>0</v>
      </c>
      <c r="E190" s="614">
        <v>0</v>
      </c>
      <c r="F190" s="614">
        <v>0</v>
      </c>
      <c r="G190" s="614">
        <v>0</v>
      </c>
      <c r="H190" s="614">
        <v>0</v>
      </c>
      <c r="I190" s="613">
        <v>0</v>
      </c>
      <c r="J190" s="613">
        <v>0</v>
      </c>
      <c r="K190" s="614">
        <v>0</v>
      </c>
      <c r="L190" s="614">
        <v>0</v>
      </c>
      <c r="M190" s="614">
        <v>0</v>
      </c>
      <c r="N190" s="613">
        <v>0</v>
      </c>
      <c r="O190" s="617">
        <v>0</v>
      </c>
      <c r="P190" s="614">
        <v>0</v>
      </c>
      <c r="Q190" s="614">
        <v>0</v>
      </c>
      <c r="R190" s="613">
        <v>0</v>
      </c>
      <c r="S190" s="615">
        <v>0</v>
      </c>
      <c r="T190" s="615">
        <v>0</v>
      </c>
      <c r="U190" s="615">
        <v>0</v>
      </c>
      <c r="V190" s="615">
        <v>0</v>
      </c>
      <c r="W190" s="615">
        <v>0</v>
      </c>
      <c r="X190" s="615">
        <v>0</v>
      </c>
      <c r="Y190" s="615">
        <v>0</v>
      </c>
      <c r="Z190" s="615">
        <v>0</v>
      </c>
      <c r="AA190" s="615">
        <v>0</v>
      </c>
      <c r="AB190" s="616">
        <v>0</v>
      </c>
    </row>
    <row r="191" spans="1:28" s="74" customFormat="1">
      <c r="A191" s="443"/>
      <c r="B191" s="444" t="s">
        <v>445</v>
      </c>
      <c r="C191" s="445">
        <v>4936.708333333333</v>
      </c>
      <c r="D191" s="446"/>
      <c r="E191" s="446">
        <v>2570.125</v>
      </c>
      <c r="F191" s="446"/>
      <c r="G191" s="446">
        <v>270.91666666666669</v>
      </c>
      <c r="H191" s="446">
        <v>171.75</v>
      </c>
      <c r="I191" s="445">
        <v>7949.5</v>
      </c>
      <c r="J191" s="445">
        <v>0</v>
      </c>
      <c r="K191" s="446"/>
      <c r="L191" s="446"/>
      <c r="M191" s="446">
        <v>0</v>
      </c>
      <c r="N191" s="445">
        <v>0</v>
      </c>
      <c r="O191" s="618"/>
      <c r="P191" s="446"/>
      <c r="Q191" s="446"/>
      <c r="R191" s="445"/>
      <c r="S191" s="604"/>
      <c r="T191" s="604"/>
      <c r="U191" s="604"/>
      <c r="V191" s="604"/>
      <c r="W191" s="604"/>
      <c r="X191" s="604"/>
      <c r="Y191" s="604"/>
      <c r="Z191" s="604"/>
      <c r="AA191" s="604"/>
      <c r="AB191" s="606"/>
    </row>
    <row r="192" spans="1:28" s="74" customFormat="1">
      <c r="A192" s="443"/>
      <c r="B192" s="444" t="s">
        <v>447</v>
      </c>
      <c r="C192" s="445">
        <v>4989.375</v>
      </c>
      <c r="D192" s="446"/>
      <c r="E192" s="446">
        <v>2636.5416666666665</v>
      </c>
      <c r="F192" s="446"/>
      <c r="G192" s="446">
        <v>241.75</v>
      </c>
      <c r="H192" s="446">
        <v>246.66666666666666</v>
      </c>
      <c r="I192" s="445">
        <v>8114.333333333333</v>
      </c>
      <c r="J192" s="445">
        <v>0</v>
      </c>
      <c r="K192" s="446"/>
      <c r="L192" s="446"/>
      <c r="M192" s="446">
        <v>0</v>
      </c>
      <c r="N192" s="445">
        <v>0</v>
      </c>
      <c r="O192" s="618"/>
      <c r="P192" s="446"/>
      <c r="Q192" s="446"/>
      <c r="R192" s="445"/>
      <c r="S192" s="604"/>
      <c r="T192" s="604"/>
      <c r="U192" s="604"/>
      <c r="V192" s="604"/>
      <c r="W192" s="604"/>
      <c r="X192" s="604"/>
      <c r="Y192" s="604"/>
      <c r="Z192" s="604"/>
      <c r="AA192" s="604"/>
      <c r="AB192" s="606"/>
    </row>
    <row r="193" spans="1:28" s="74" customFormat="1">
      <c r="A193" s="443"/>
      <c r="B193" s="447" t="s">
        <v>449</v>
      </c>
      <c r="C193" s="613">
        <v>1.066837720816002E-2</v>
      </c>
      <c r="D193" s="614">
        <v>0</v>
      </c>
      <c r="E193" s="614">
        <v>2.5841804062707658E-2</v>
      </c>
      <c r="F193" s="614">
        <v>0</v>
      </c>
      <c r="G193" s="614">
        <v>-0.10765918179021845</v>
      </c>
      <c r="H193" s="614">
        <v>0.43619602134885971</v>
      </c>
      <c r="I193" s="613">
        <v>2.0735056712162268E-2</v>
      </c>
      <c r="J193" s="613">
        <v>0</v>
      </c>
      <c r="K193" s="614">
        <v>0</v>
      </c>
      <c r="L193" s="614">
        <v>0</v>
      </c>
      <c r="M193" s="614">
        <v>0</v>
      </c>
      <c r="N193" s="613">
        <v>0</v>
      </c>
      <c r="O193" s="617">
        <v>0</v>
      </c>
      <c r="P193" s="614">
        <v>0</v>
      </c>
      <c r="Q193" s="614">
        <v>0</v>
      </c>
      <c r="R193" s="613">
        <v>0</v>
      </c>
      <c r="S193" s="615">
        <v>0</v>
      </c>
      <c r="T193" s="615">
        <v>0</v>
      </c>
      <c r="U193" s="615">
        <v>0</v>
      </c>
      <c r="V193" s="615">
        <v>0</v>
      </c>
      <c r="W193" s="615">
        <v>0</v>
      </c>
      <c r="X193" s="615">
        <v>0</v>
      </c>
      <c r="Y193" s="615">
        <v>0</v>
      </c>
      <c r="Z193" s="615">
        <v>0</v>
      </c>
      <c r="AA193" s="615">
        <v>0</v>
      </c>
      <c r="AB193" s="616">
        <v>0</v>
      </c>
    </row>
    <row r="194" spans="1:28" s="74" customFormat="1">
      <c r="A194" s="443"/>
      <c r="B194" s="444" t="s">
        <v>49</v>
      </c>
      <c r="C194" s="445">
        <v>25898.674999999999</v>
      </c>
      <c r="D194" s="446"/>
      <c r="E194" s="446">
        <v>10830.358333333334</v>
      </c>
      <c r="F194" s="446"/>
      <c r="G194" s="446">
        <v>4046.583333333333</v>
      </c>
      <c r="H194" s="446">
        <v>15041.286666666669</v>
      </c>
      <c r="I194" s="445">
        <v>55816.903333333335</v>
      </c>
      <c r="J194" s="445">
        <v>4014.6333333333332</v>
      </c>
      <c r="K194" s="446"/>
      <c r="L194" s="446"/>
      <c r="M194" s="446">
        <v>11857.45</v>
      </c>
      <c r="N194" s="445">
        <v>15872.083333333334</v>
      </c>
      <c r="O194" s="618"/>
      <c r="P194" s="446"/>
      <c r="Q194" s="446"/>
      <c r="R194" s="445"/>
      <c r="S194" s="604"/>
      <c r="T194" s="604"/>
      <c r="U194" s="604"/>
      <c r="V194" s="604"/>
      <c r="W194" s="604"/>
      <c r="X194" s="604"/>
      <c r="Y194" s="604"/>
      <c r="Z194" s="604"/>
      <c r="AA194" s="604"/>
      <c r="AB194" s="606"/>
    </row>
    <row r="195" spans="1:28" s="74" customFormat="1">
      <c r="A195" s="443"/>
      <c r="B195" s="444" t="s">
        <v>451</v>
      </c>
      <c r="C195" s="445">
        <v>26197.141666666666</v>
      </c>
      <c r="D195" s="446"/>
      <c r="E195" s="446">
        <v>10996.908333333333</v>
      </c>
      <c r="F195" s="446"/>
      <c r="G195" s="446">
        <v>4084.35</v>
      </c>
      <c r="H195" s="446">
        <v>15685.816666666668</v>
      </c>
      <c r="I195" s="445">
        <v>56964.216666666667</v>
      </c>
      <c r="J195" s="445">
        <v>4469.8333333333339</v>
      </c>
      <c r="K195" s="446"/>
      <c r="L195" s="446"/>
      <c r="M195" s="446">
        <v>13079.67</v>
      </c>
      <c r="N195" s="445">
        <v>17549.503333333334</v>
      </c>
      <c r="O195" s="618"/>
      <c r="P195" s="446"/>
      <c r="Q195" s="446"/>
      <c r="R195" s="445"/>
      <c r="S195" s="604"/>
      <c r="T195" s="604"/>
      <c r="U195" s="604"/>
      <c r="V195" s="604"/>
      <c r="W195" s="604"/>
      <c r="X195" s="604"/>
      <c r="Y195" s="604"/>
      <c r="Z195" s="604"/>
      <c r="AA195" s="604"/>
      <c r="AB195" s="606"/>
    </row>
    <row r="196" spans="1:28" s="74" customFormat="1">
      <c r="A196" s="443"/>
      <c r="B196" s="447" t="s">
        <v>453</v>
      </c>
      <c r="C196" s="613">
        <v>1.1524399092488985E-2</v>
      </c>
      <c r="D196" s="614">
        <v>0</v>
      </c>
      <c r="E196" s="614">
        <v>1.5378069208236348E-2</v>
      </c>
      <c r="F196" s="614">
        <v>0</v>
      </c>
      <c r="G196" s="614">
        <v>9.3329763792500374E-3</v>
      </c>
      <c r="H196" s="614">
        <v>4.2850722433763339E-2</v>
      </c>
      <c r="I196" s="613">
        <v>2.0554944198206245E-2</v>
      </c>
      <c r="J196" s="613">
        <v>0.11338519914645606</v>
      </c>
      <c r="K196" s="614">
        <v>0</v>
      </c>
      <c r="L196" s="614">
        <v>0</v>
      </c>
      <c r="M196" s="614">
        <v>0.10307612513651748</v>
      </c>
      <c r="N196" s="613">
        <v>0.10568366891554878</v>
      </c>
      <c r="O196" s="619">
        <v>0</v>
      </c>
      <c r="P196" s="614">
        <v>0</v>
      </c>
      <c r="Q196" s="614">
        <v>0</v>
      </c>
      <c r="R196" s="613">
        <v>0</v>
      </c>
      <c r="S196" s="615">
        <v>0</v>
      </c>
      <c r="T196" s="615">
        <v>0</v>
      </c>
      <c r="U196" s="615">
        <v>0</v>
      </c>
      <c r="V196" s="615">
        <v>0</v>
      </c>
      <c r="W196" s="615">
        <v>0</v>
      </c>
      <c r="X196" s="615">
        <v>0</v>
      </c>
      <c r="Y196" s="615">
        <v>0</v>
      </c>
      <c r="Z196" s="615">
        <v>0</v>
      </c>
      <c r="AA196" s="615">
        <v>0</v>
      </c>
      <c r="AB196" s="616">
        <v>0</v>
      </c>
    </row>
    <row r="197" spans="1:28">
      <c r="A197" s="442" t="s">
        <v>980</v>
      </c>
      <c r="B197" s="440" t="s">
        <v>443</v>
      </c>
      <c r="C197" s="437"/>
      <c r="D197" s="441"/>
      <c r="E197" s="441"/>
      <c r="F197" s="441"/>
      <c r="G197" s="441"/>
      <c r="H197" s="441"/>
      <c r="I197" s="437"/>
      <c r="J197" s="437"/>
      <c r="K197" s="441"/>
      <c r="L197" s="441"/>
      <c r="M197" s="441"/>
      <c r="N197" s="437"/>
      <c r="O197" s="437"/>
      <c r="P197" s="441"/>
      <c r="Q197" s="441"/>
      <c r="R197" s="437"/>
      <c r="S197" s="603"/>
      <c r="T197" s="603"/>
      <c r="U197" s="603"/>
      <c r="V197" s="603"/>
      <c r="W197" s="603"/>
      <c r="X197" s="603"/>
      <c r="Y197" s="603"/>
      <c r="Z197" s="603"/>
      <c r="AA197" s="603"/>
      <c r="AB197" s="605"/>
    </row>
    <row r="198" spans="1:28" s="74" customFormat="1">
      <c r="A198" s="443"/>
      <c r="B198" s="444" t="s">
        <v>441</v>
      </c>
      <c r="C198" s="445"/>
      <c r="D198" s="446"/>
      <c r="E198" s="446"/>
      <c r="F198" s="446"/>
      <c r="G198" s="446"/>
      <c r="H198" s="446"/>
      <c r="I198" s="445"/>
      <c r="J198" s="445"/>
      <c r="K198" s="446"/>
      <c r="L198" s="446"/>
      <c r="M198" s="446"/>
      <c r="N198" s="445"/>
      <c r="O198" s="445"/>
      <c r="P198" s="446"/>
      <c r="Q198" s="446"/>
      <c r="R198" s="445"/>
      <c r="S198" s="604"/>
      <c r="T198" s="604"/>
      <c r="U198" s="604"/>
      <c r="V198" s="604"/>
      <c r="W198" s="604"/>
      <c r="X198" s="604"/>
      <c r="Y198" s="604"/>
      <c r="Z198" s="604"/>
      <c r="AA198" s="604"/>
      <c r="AB198" s="606"/>
    </row>
    <row r="199" spans="1:28" s="74" customFormat="1">
      <c r="A199" s="443"/>
      <c r="B199" s="447" t="s">
        <v>455</v>
      </c>
      <c r="C199" s="613">
        <v>0</v>
      </c>
      <c r="D199" s="614">
        <v>0</v>
      </c>
      <c r="E199" s="614">
        <v>0</v>
      </c>
      <c r="F199" s="614">
        <v>0</v>
      </c>
      <c r="G199" s="614">
        <v>0</v>
      </c>
      <c r="H199" s="614">
        <v>0</v>
      </c>
      <c r="I199" s="613">
        <v>0</v>
      </c>
      <c r="J199" s="613">
        <v>0</v>
      </c>
      <c r="K199" s="614">
        <v>0</v>
      </c>
      <c r="L199" s="614">
        <v>0</v>
      </c>
      <c r="M199" s="614">
        <v>0</v>
      </c>
      <c r="N199" s="613">
        <v>0</v>
      </c>
      <c r="O199" s="617">
        <v>0</v>
      </c>
      <c r="P199" s="614">
        <v>0</v>
      </c>
      <c r="Q199" s="614">
        <v>0</v>
      </c>
      <c r="R199" s="613">
        <v>0</v>
      </c>
      <c r="S199" s="615">
        <v>0</v>
      </c>
      <c r="T199" s="615">
        <v>0</v>
      </c>
      <c r="U199" s="615">
        <v>0</v>
      </c>
      <c r="V199" s="615">
        <v>0</v>
      </c>
      <c r="W199" s="615">
        <v>0</v>
      </c>
      <c r="X199" s="615">
        <v>0</v>
      </c>
      <c r="Y199" s="615">
        <v>0</v>
      </c>
      <c r="Z199" s="615">
        <v>0</v>
      </c>
      <c r="AA199" s="615">
        <v>0</v>
      </c>
      <c r="AB199" s="616">
        <v>0</v>
      </c>
    </row>
    <row r="200" spans="1:28">
      <c r="A200" s="443"/>
      <c r="B200" s="444" t="s">
        <v>439</v>
      </c>
      <c r="C200" s="445"/>
      <c r="D200" s="446"/>
      <c r="E200" s="446"/>
      <c r="F200" s="446"/>
      <c r="G200" s="446"/>
      <c r="H200" s="446"/>
      <c r="I200" s="445"/>
      <c r="J200" s="445"/>
      <c r="K200" s="446"/>
      <c r="L200" s="446"/>
      <c r="M200" s="446"/>
      <c r="N200" s="445"/>
      <c r="O200" s="618"/>
      <c r="P200" s="446"/>
      <c r="Q200" s="446"/>
      <c r="R200" s="445"/>
      <c r="S200" s="604"/>
      <c r="T200" s="604"/>
      <c r="U200" s="604"/>
      <c r="V200" s="604"/>
      <c r="W200" s="604"/>
      <c r="X200" s="604"/>
      <c r="Y200" s="604"/>
      <c r="Z200" s="604"/>
      <c r="AA200" s="604"/>
      <c r="AB200" s="606"/>
    </row>
    <row r="201" spans="1:28" s="74" customFormat="1">
      <c r="A201" s="443"/>
      <c r="B201" s="444" t="s">
        <v>437</v>
      </c>
      <c r="C201" s="445"/>
      <c r="D201" s="446"/>
      <c r="E201" s="446"/>
      <c r="F201" s="446"/>
      <c r="G201" s="446"/>
      <c r="H201" s="446"/>
      <c r="I201" s="445"/>
      <c r="J201" s="445"/>
      <c r="K201" s="446"/>
      <c r="L201" s="446"/>
      <c r="M201" s="446"/>
      <c r="N201" s="445"/>
      <c r="O201" s="618"/>
      <c r="P201" s="446"/>
      <c r="Q201" s="446"/>
      <c r="R201" s="445"/>
      <c r="S201" s="604"/>
      <c r="T201" s="604"/>
      <c r="U201" s="604"/>
      <c r="V201" s="604"/>
      <c r="W201" s="604"/>
      <c r="X201" s="604"/>
      <c r="Y201" s="604"/>
      <c r="Z201" s="604"/>
      <c r="AA201" s="604"/>
      <c r="AB201" s="606"/>
    </row>
    <row r="202" spans="1:28" s="74" customFormat="1">
      <c r="A202" s="443"/>
      <c r="B202" s="447" t="s">
        <v>457</v>
      </c>
      <c r="C202" s="613">
        <v>0</v>
      </c>
      <c r="D202" s="614">
        <v>0</v>
      </c>
      <c r="E202" s="614">
        <v>0</v>
      </c>
      <c r="F202" s="614">
        <v>0</v>
      </c>
      <c r="G202" s="614">
        <v>0</v>
      </c>
      <c r="H202" s="614">
        <v>0</v>
      </c>
      <c r="I202" s="613">
        <v>0</v>
      </c>
      <c r="J202" s="613">
        <v>0</v>
      </c>
      <c r="K202" s="614">
        <v>0</v>
      </c>
      <c r="L202" s="614">
        <v>0</v>
      </c>
      <c r="M202" s="614">
        <v>0</v>
      </c>
      <c r="N202" s="613">
        <v>0</v>
      </c>
      <c r="O202" s="617">
        <v>0</v>
      </c>
      <c r="P202" s="614">
        <v>0</v>
      </c>
      <c r="Q202" s="614">
        <v>0</v>
      </c>
      <c r="R202" s="613">
        <v>0</v>
      </c>
      <c r="S202" s="615">
        <v>0</v>
      </c>
      <c r="T202" s="615">
        <v>0</v>
      </c>
      <c r="U202" s="615">
        <v>0</v>
      </c>
      <c r="V202" s="615">
        <v>0</v>
      </c>
      <c r="W202" s="615">
        <v>0</v>
      </c>
      <c r="X202" s="615">
        <v>0</v>
      </c>
      <c r="Y202" s="615">
        <v>0</v>
      </c>
      <c r="Z202" s="615">
        <v>0</v>
      </c>
      <c r="AA202" s="615">
        <v>0</v>
      </c>
      <c r="AB202" s="616">
        <v>0</v>
      </c>
    </row>
    <row r="203" spans="1:28">
      <c r="A203" s="443"/>
      <c r="B203" s="444" t="s">
        <v>445</v>
      </c>
      <c r="C203" s="445"/>
      <c r="D203" s="446"/>
      <c r="E203" s="446"/>
      <c r="F203" s="446"/>
      <c r="G203" s="446"/>
      <c r="H203" s="446"/>
      <c r="I203" s="445"/>
      <c r="J203" s="445"/>
      <c r="K203" s="446"/>
      <c r="L203" s="446"/>
      <c r="M203" s="446"/>
      <c r="N203" s="445"/>
      <c r="O203" s="618"/>
      <c r="P203" s="446"/>
      <c r="Q203" s="446"/>
      <c r="R203" s="445"/>
      <c r="S203" s="604"/>
      <c r="T203" s="604"/>
      <c r="U203" s="604"/>
      <c r="V203" s="604"/>
      <c r="W203" s="604"/>
      <c r="X203" s="604"/>
      <c r="Y203" s="604"/>
      <c r="Z203" s="604"/>
      <c r="AA203" s="604"/>
      <c r="AB203" s="606"/>
    </row>
    <row r="204" spans="1:28" s="74" customFormat="1">
      <c r="A204" s="443"/>
      <c r="B204" s="444" t="s">
        <v>447</v>
      </c>
      <c r="C204" s="445"/>
      <c r="D204" s="446"/>
      <c r="E204" s="446"/>
      <c r="F204" s="446"/>
      <c r="G204" s="446"/>
      <c r="H204" s="446"/>
      <c r="I204" s="445"/>
      <c r="J204" s="445"/>
      <c r="K204" s="446"/>
      <c r="L204" s="446"/>
      <c r="M204" s="446"/>
      <c r="N204" s="445"/>
      <c r="O204" s="618"/>
      <c r="P204" s="446"/>
      <c r="Q204" s="446"/>
      <c r="R204" s="445"/>
      <c r="S204" s="604"/>
      <c r="T204" s="604"/>
      <c r="U204" s="604"/>
      <c r="V204" s="604"/>
      <c r="W204" s="604"/>
      <c r="X204" s="604"/>
      <c r="Y204" s="604"/>
      <c r="Z204" s="604"/>
      <c r="AA204" s="604"/>
      <c r="AB204" s="606"/>
    </row>
    <row r="205" spans="1:28" s="74" customFormat="1">
      <c r="A205" s="443"/>
      <c r="B205" s="447" t="s">
        <v>449</v>
      </c>
      <c r="C205" s="613">
        <v>0</v>
      </c>
      <c r="D205" s="614">
        <v>0</v>
      </c>
      <c r="E205" s="614">
        <v>0</v>
      </c>
      <c r="F205" s="614">
        <v>0</v>
      </c>
      <c r="G205" s="614">
        <v>0</v>
      </c>
      <c r="H205" s="614">
        <v>0</v>
      </c>
      <c r="I205" s="613">
        <v>0</v>
      </c>
      <c r="J205" s="613">
        <v>0</v>
      </c>
      <c r="K205" s="614">
        <v>0</v>
      </c>
      <c r="L205" s="614">
        <v>0</v>
      </c>
      <c r="M205" s="614">
        <v>0</v>
      </c>
      <c r="N205" s="613">
        <v>0</v>
      </c>
      <c r="O205" s="617">
        <v>0</v>
      </c>
      <c r="P205" s="614">
        <v>0</v>
      </c>
      <c r="Q205" s="614">
        <v>0</v>
      </c>
      <c r="R205" s="613">
        <v>0</v>
      </c>
      <c r="S205" s="615">
        <v>0</v>
      </c>
      <c r="T205" s="615">
        <v>0</v>
      </c>
      <c r="U205" s="615">
        <v>0</v>
      </c>
      <c r="V205" s="615">
        <v>0</v>
      </c>
      <c r="W205" s="615">
        <v>0</v>
      </c>
      <c r="X205" s="615">
        <v>0</v>
      </c>
      <c r="Y205" s="615">
        <v>0</v>
      </c>
      <c r="Z205" s="615">
        <v>0</v>
      </c>
      <c r="AA205" s="615">
        <v>0</v>
      </c>
      <c r="AB205" s="616">
        <v>0</v>
      </c>
    </row>
    <row r="206" spans="1:28">
      <c r="A206" s="443"/>
      <c r="B206" s="444" t="s">
        <v>49</v>
      </c>
      <c r="C206" s="445"/>
      <c r="D206" s="446"/>
      <c r="E206" s="446"/>
      <c r="F206" s="446"/>
      <c r="G206" s="446"/>
      <c r="H206" s="446"/>
      <c r="I206" s="445"/>
      <c r="J206" s="445"/>
      <c r="K206" s="446"/>
      <c r="L206" s="446"/>
      <c r="M206" s="446"/>
      <c r="N206" s="445"/>
      <c r="O206" s="618"/>
      <c r="P206" s="446"/>
      <c r="Q206" s="446"/>
      <c r="R206" s="445"/>
      <c r="S206" s="604"/>
      <c r="T206" s="604"/>
      <c r="U206" s="604"/>
      <c r="V206" s="604"/>
      <c r="W206" s="604"/>
      <c r="X206" s="604"/>
      <c r="Y206" s="604"/>
      <c r="Z206" s="604"/>
      <c r="AA206" s="604"/>
      <c r="AB206" s="606"/>
    </row>
    <row r="207" spans="1:28" s="74" customFormat="1">
      <c r="A207" s="443"/>
      <c r="B207" s="444" t="s">
        <v>451</v>
      </c>
      <c r="C207" s="445"/>
      <c r="D207" s="446"/>
      <c r="E207" s="446"/>
      <c r="F207" s="446"/>
      <c r="G207" s="446"/>
      <c r="H207" s="446"/>
      <c r="I207" s="445"/>
      <c r="J207" s="445"/>
      <c r="K207" s="446"/>
      <c r="L207" s="446"/>
      <c r="M207" s="446"/>
      <c r="N207" s="445"/>
      <c r="O207" s="618"/>
      <c r="P207" s="446"/>
      <c r="Q207" s="446"/>
      <c r="R207" s="445"/>
      <c r="S207" s="604"/>
      <c r="T207" s="604"/>
      <c r="U207" s="604"/>
      <c r="V207" s="604"/>
      <c r="W207" s="604"/>
      <c r="X207" s="604"/>
      <c r="Y207" s="604"/>
      <c r="Z207" s="604"/>
      <c r="AA207" s="604"/>
      <c r="AB207" s="606"/>
    </row>
    <row r="208" spans="1:28">
      <c r="A208" s="449"/>
      <c r="B208" s="620" t="s">
        <v>453</v>
      </c>
      <c r="C208" s="621">
        <v>0</v>
      </c>
      <c r="D208" s="622">
        <v>0</v>
      </c>
      <c r="E208" s="622">
        <v>0</v>
      </c>
      <c r="F208" s="622">
        <v>0</v>
      </c>
      <c r="G208" s="622">
        <v>0</v>
      </c>
      <c r="H208" s="622">
        <v>0</v>
      </c>
      <c r="I208" s="621">
        <v>0</v>
      </c>
      <c r="J208" s="621">
        <v>0</v>
      </c>
      <c r="K208" s="622">
        <v>0</v>
      </c>
      <c r="L208" s="622">
        <v>0</v>
      </c>
      <c r="M208" s="622">
        <v>0</v>
      </c>
      <c r="N208" s="621">
        <v>0</v>
      </c>
      <c r="O208" s="619">
        <v>0</v>
      </c>
      <c r="P208" s="622">
        <v>0</v>
      </c>
      <c r="Q208" s="622">
        <v>0</v>
      </c>
      <c r="R208" s="621">
        <v>0</v>
      </c>
      <c r="S208" s="623">
        <v>0</v>
      </c>
      <c r="T208" s="623">
        <v>0</v>
      </c>
      <c r="U208" s="623">
        <v>0</v>
      </c>
      <c r="V208" s="623">
        <v>0</v>
      </c>
      <c r="W208" s="623">
        <v>0</v>
      </c>
      <c r="X208" s="623">
        <v>0</v>
      </c>
      <c r="Y208" s="623">
        <v>0</v>
      </c>
      <c r="Z208" s="623">
        <v>0</v>
      </c>
      <c r="AA208" s="623">
        <v>0</v>
      </c>
      <c r="AB208" s="624">
        <v>0</v>
      </c>
    </row>
    <row r="209" spans="1:28">
      <c r="A209" s="364" t="s">
        <v>444</v>
      </c>
      <c r="C209" s="366">
        <v>788385.8600000001</v>
      </c>
      <c r="D209" s="366">
        <v>183409.29444444444</v>
      </c>
      <c r="E209" s="366">
        <v>501359.15000000008</v>
      </c>
      <c r="F209" s="366">
        <v>182864.93</v>
      </c>
      <c r="G209" s="366">
        <v>104037.46666666667</v>
      </c>
      <c r="H209" s="366">
        <v>63634.105000000003</v>
      </c>
      <c r="I209" s="366">
        <v>1823690.8061111111</v>
      </c>
      <c r="J209" s="366">
        <v>110544.33333333334</v>
      </c>
      <c r="K209" s="366">
        <v>821062.73266666685</v>
      </c>
      <c r="L209" s="366">
        <v>497765.71166666667</v>
      </c>
      <c r="M209" s="367">
        <v>144343.4996666667</v>
      </c>
      <c r="N209" s="366">
        <v>1573716.2773333332</v>
      </c>
      <c r="O209" s="363">
        <v>75911.724444444451</v>
      </c>
      <c r="P209" s="363">
        <v>4929.4944444444445</v>
      </c>
      <c r="Q209" s="363">
        <v>14085.35</v>
      </c>
      <c r="R209" s="363">
        <v>94926.568888888898</v>
      </c>
      <c r="S209" s="363">
        <v>1319.0333333333333</v>
      </c>
      <c r="T209" s="363">
        <v>1319.0333333333333</v>
      </c>
      <c r="U209" s="363">
        <v>171750.56666666668</v>
      </c>
      <c r="V209" s="363">
        <v>171750.56666666668</v>
      </c>
      <c r="W209" s="363">
        <v>61059.133333333331</v>
      </c>
      <c r="X209" s="363">
        <v>61059.133333333331</v>
      </c>
      <c r="Y209" s="363">
        <v>13175.8</v>
      </c>
      <c r="Z209" s="363">
        <v>13175.8</v>
      </c>
    </row>
    <row r="210" spans="1:28">
      <c r="A210" s="364" t="s">
        <v>442</v>
      </c>
      <c r="C210" s="366">
        <v>804619.08333333326</v>
      </c>
      <c r="D210" s="366">
        <v>191444.98333333334</v>
      </c>
      <c r="E210" s="366">
        <v>514714.8</v>
      </c>
      <c r="F210" s="366">
        <v>188404.4</v>
      </c>
      <c r="G210" s="366">
        <v>107951.20000000001</v>
      </c>
      <c r="H210" s="366">
        <v>67276.416666666657</v>
      </c>
      <c r="I210" s="366">
        <v>1874410.8833333335</v>
      </c>
      <c r="J210" s="366">
        <v>122138.63333333333</v>
      </c>
      <c r="K210" s="366">
        <v>911334.4833333334</v>
      </c>
      <c r="L210" s="366">
        <v>552649.7333333334</v>
      </c>
      <c r="M210" s="367">
        <v>162960.02500000002</v>
      </c>
      <c r="N210" s="366">
        <v>1749082.8749999998</v>
      </c>
      <c r="O210" s="363">
        <v>91409.686666666676</v>
      </c>
      <c r="P210" s="363">
        <v>6167.4955555555553</v>
      </c>
      <c r="Q210" s="363">
        <v>16622.283333333333</v>
      </c>
      <c r="R210" s="363">
        <v>114199.46555555557</v>
      </c>
      <c r="S210" s="363">
        <v>410.06666666666666</v>
      </c>
      <c r="T210" s="363">
        <v>410.06666666666666</v>
      </c>
      <c r="U210" s="363">
        <v>82469.733333333323</v>
      </c>
      <c r="V210" s="363">
        <v>82469.733333333323</v>
      </c>
      <c r="W210" s="363">
        <v>66995.866666666669</v>
      </c>
      <c r="X210" s="363">
        <v>66995.866666666669</v>
      </c>
      <c r="Y210" s="363">
        <v>15063.800000000001</v>
      </c>
      <c r="Z210" s="363">
        <v>15063.800000000001</v>
      </c>
    </row>
    <row r="211" spans="1:28">
      <c r="A211" s="364" t="s">
        <v>456</v>
      </c>
      <c r="C211" s="366">
        <v>2.0590454696046156E-2</v>
      </c>
      <c r="D211" s="366">
        <v>4.381287716759056E-2</v>
      </c>
      <c r="E211" s="366">
        <v>2.6638887512075847E-2</v>
      </c>
      <c r="F211" s="366">
        <v>3.0292686520045322E-2</v>
      </c>
      <c r="G211" s="366">
        <v>3.761849897665076E-2</v>
      </c>
      <c r="H211" s="366">
        <v>5.7238357743330567E-2</v>
      </c>
      <c r="I211" s="366">
        <v>2.7811774371105772E-2</v>
      </c>
      <c r="J211" s="366">
        <v>0.10488371181396292</v>
      </c>
      <c r="K211" s="366">
        <v>0.10994501038121679</v>
      </c>
      <c r="L211" s="366">
        <v>0.11026075195677629</v>
      </c>
      <c r="M211" s="367">
        <v>0.12897377004385085</v>
      </c>
      <c r="N211" s="366">
        <v>0.11143469772316619</v>
      </c>
      <c r="O211" s="363">
        <v>0.20415768888986691</v>
      </c>
      <c r="P211" s="363">
        <v>0.25114159779738504</v>
      </c>
      <c r="Q211" s="363">
        <v>0.18011148699417001</v>
      </c>
      <c r="R211" s="363">
        <v>0.20302953000677296</v>
      </c>
      <c r="S211" s="363">
        <v>-0.68911576659675022</v>
      </c>
      <c r="T211" s="363">
        <v>-0.68911576659675022</v>
      </c>
      <c r="U211" s="363">
        <v>-0.51982846441845809</v>
      </c>
      <c r="V211" s="363">
        <v>-0.51982846441845809</v>
      </c>
      <c r="W211" s="363">
        <v>9.7229243345521951E-2</v>
      </c>
      <c r="X211" s="363">
        <v>9.7229243345521951E-2</v>
      </c>
      <c r="Y211" s="363">
        <v>0.14329300687624297</v>
      </c>
      <c r="Z211" s="363">
        <v>0.14329300687624297</v>
      </c>
      <c r="AA211" s="363">
        <v>0</v>
      </c>
      <c r="AB211" s="363">
        <v>0</v>
      </c>
    </row>
    <row r="212" spans="1:28">
      <c r="A212" s="364" t="s">
        <v>440</v>
      </c>
      <c r="C212" s="366">
        <v>0</v>
      </c>
      <c r="D212" s="366">
        <v>0</v>
      </c>
      <c r="E212" s="366">
        <v>0</v>
      </c>
      <c r="F212" s="366">
        <v>0</v>
      </c>
      <c r="G212" s="366">
        <v>0</v>
      </c>
      <c r="H212" s="366">
        <v>0</v>
      </c>
      <c r="I212" s="366">
        <v>0</v>
      </c>
      <c r="J212" s="366">
        <v>14506.864444444444</v>
      </c>
      <c r="K212" s="366">
        <v>37016.044444444451</v>
      </c>
      <c r="L212" s="366">
        <v>11114.646666666666</v>
      </c>
      <c r="M212" s="367">
        <v>1384.0111111111112</v>
      </c>
      <c r="N212" s="366">
        <v>64021.566666666666</v>
      </c>
      <c r="O212" s="363">
        <v>6795.3086222222237</v>
      </c>
      <c r="P212" s="363">
        <v>31245.567399999993</v>
      </c>
      <c r="Q212" s="363">
        <v>98.387222222222221</v>
      </c>
      <c r="R212" s="363">
        <v>38139.263244444439</v>
      </c>
      <c r="S212" s="363">
        <v>0</v>
      </c>
      <c r="T212" s="363">
        <v>0</v>
      </c>
      <c r="U212" s="363">
        <v>5743.7722222222219</v>
      </c>
      <c r="V212" s="363">
        <v>5743.7722222222219</v>
      </c>
      <c r="W212" s="363">
        <v>2870.4377777777777</v>
      </c>
      <c r="X212" s="363">
        <v>2870.4377777777777</v>
      </c>
      <c r="Y212" s="363">
        <v>2873.3344444444447</v>
      </c>
      <c r="Z212" s="363">
        <v>2873.3344444444447</v>
      </c>
    </row>
    <row r="213" spans="1:28">
      <c r="A213" s="364" t="s">
        <v>438</v>
      </c>
      <c r="C213" s="366">
        <v>0</v>
      </c>
      <c r="D213" s="366">
        <v>0</v>
      </c>
      <c r="E213" s="366">
        <v>0</v>
      </c>
      <c r="F213" s="366">
        <v>0</v>
      </c>
      <c r="G213" s="366">
        <v>0</v>
      </c>
      <c r="H213" s="366">
        <v>0</v>
      </c>
      <c r="I213" s="366">
        <v>0</v>
      </c>
      <c r="J213" s="366">
        <v>13416.807777777778</v>
      </c>
      <c r="K213" s="366">
        <v>36204.52888888889</v>
      </c>
      <c r="L213" s="366">
        <v>11331.919999999998</v>
      </c>
      <c r="M213" s="367">
        <v>1196.0644444444445</v>
      </c>
      <c r="N213" s="366">
        <v>62149.321111111109</v>
      </c>
      <c r="O213" s="363">
        <v>6009.1622222222222</v>
      </c>
      <c r="P213" s="363">
        <v>32585.343166666658</v>
      </c>
      <c r="Q213" s="363">
        <v>108.17722222222223</v>
      </c>
      <c r="R213" s="363">
        <v>38702.682611111108</v>
      </c>
      <c r="S213" s="363">
        <v>10.053333333333333</v>
      </c>
      <c r="T213" s="363">
        <v>10.053333333333333</v>
      </c>
      <c r="U213" s="363">
        <v>6106.6311111111108</v>
      </c>
      <c r="V213" s="363">
        <v>6106.6311111111108</v>
      </c>
      <c r="W213" s="363">
        <v>2849.6066666666666</v>
      </c>
      <c r="X213" s="363">
        <v>2849.6066666666666</v>
      </c>
      <c r="Y213" s="363">
        <v>3246.971111111111</v>
      </c>
      <c r="Z213" s="363">
        <v>3246.971111111111</v>
      </c>
    </row>
    <row r="214" spans="1:28">
      <c r="A214" s="364" t="s">
        <v>458</v>
      </c>
      <c r="C214" s="366">
        <v>0</v>
      </c>
      <c r="D214" s="366">
        <v>0</v>
      </c>
      <c r="E214" s="366">
        <v>0</v>
      </c>
      <c r="F214" s="366">
        <v>0</v>
      </c>
      <c r="G214" s="366">
        <v>0</v>
      </c>
      <c r="H214" s="366">
        <v>0</v>
      </c>
      <c r="I214" s="366">
        <v>0</v>
      </c>
      <c r="J214" s="366">
        <v>-7.51407494597576E-2</v>
      </c>
      <c r="K214" s="366">
        <v>-2.1923346152599252E-2</v>
      </c>
      <c r="L214" s="366">
        <v>1.9548379705578118E-2</v>
      </c>
      <c r="M214" s="367">
        <v>-0.13579852441775506</v>
      </c>
      <c r="N214" s="366">
        <v>-2.924398219280646E-2</v>
      </c>
      <c r="O214" s="363">
        <v>-0.11568957993005966</v>
      </c>
      <c r="P214" s="363">
        <v>4.2878906614659797E-2</v>
      </c>
      <c r="Q214" s="363">
        <v>9.9504791159647041E-2</v>
      </c>
      <c r="R214" s="363">
        <v>1.4772686170038483E-2</v>
      </c>
      <c r="S214" s="363">
        <v>0</v>
      </c>
      <c r="T214" s="363">
        <v>0</v>
      </c>
      <c r="U214" s="363">
        <v>6.3174317304055899E-2</v>
      </c>
      <c r="V214" s="363">
        <v>6.3174317304055899E-2</v>
      </c>
      <c r="W214" s="363">
        <v>-7.2571198973133801E-3</v>
      </c>
      <c r="X214" s="363">
        <v>-7.2571198973133801E-3</v>
      </c>
      <c r="Y214" s="363">
        <v>0.13003591259245439</v>
      </c>
      <c r="Z214" s="363">
        <v>0.13003591259245439</v>
      </c>
      <c r="AA214" s="363">
        <v>0</v>
      </c>
      <c r="AB214" s="363">
        <v>0</v>
      </c>
    </row>
    <row r="215" spans="1:28">
      <c r="A215" s="364" t="s">
        <v>446</v>
      </c>
      <c r="C215" s="366">
        <v>200492.30833333335</v>
      </c>
      <c r="D215" s="366">
        <v>43502.416666666672</v>
      </c>
      <c r="E215" s="366">
        <v>78787.083333333328</v>
      </c>
      <c r="F215" s="366">
        <v>24594.854166666668</v>
      </c>
      <c r="G215" s="366">
        <v>9787.6666666666642</v>
      </c>
      <c r="H215" s="366">
        <v>675.70833333333326</v>
      </c>
      <c r="I215" s="366">
        <v>357840.03749999998</v>
      </c>
      <c r="J215" s="366">
        <v>0</v>
      </c>
      <c r="K215" s="366">
        <v>0</v>
      </c>
      <c r="L215" s="366">
        <v>0</v>
      </c>
      <c r="M215" s="367">
        <v>0</v>
      </c>
      <c r="N215" s="366">
        <v>0</v>
      </c>
      <c r="O215" s="363">
        <v>0</v>
      </c>
      <c r="P215" s="363">
        <v>0</v>
      </c>
      <c r="Q215" s="363">
        <v>0</v>
      </c>
      <c r="R215" s="363">
        <v>0</v>
      </c>
      <c r="S215" s="363">
        <v>0</v>
      </c>
      <c r="T215" s="363">
        <v>0</v>
      </c>
      <c r="U215" s="363">
        <v>0</v>
      </c>
      <c r="V215" s="363">
        <v>0</v>
      </c>
      <c r="W215" s="363">
        <v>0</v>
      </c>
      <c r="X215" s="363">
        <v>0</v>
      </c>
      <c r="Y215" s="363">
        <v>0</v>
      </c>
      <c r="Z215" s="363">
        <v>0</v>
      </c>
    </row>
    <row r="216" spans="1:28">
      <c r="A216" s="364" t="s">
        <v>448</v>
      </c>
      <c r="C216" s="366">
        <v>207384.48666666666</v>
      </c>
      <c r="D216" s="366">
        <v>45609.124999999993</v>
      </c>
      <c r="E216" s="366">
        <v>82296.916666666657</v>
      </c>
      <c r="F216" s="366">
        <v>24703.249999999996</v>
      </c>
      <c r="G216" s="366">
        <v>11988.5</v>
      </c>
      <c r="H216" s="366">
        <v>794.70833333333326</v>
      </c>
      <c r="I216" s="366">
        <v>372776.98666666669</v>
      </c>
      <c r="J216" s="366">
        <v>0</v>
      </c>
      <c r="K216" s="366">
        <v>0</v>
      </c>
      <c r="L216" s="366">
        <v>0</v>
      </c>
      <c r="M216" s="367">
        <v>0</v>
      </c>
      <c r="N216" s="366">
        <v>0</v>
      </c>
      <c r="O216" s="363">
        <v>0</v>
      </c>
      <c r="P216" s="363">
        <v>0</v>
      </c>
      <c r="Q216" s="363">
        <v>0</v>
      </c>
      <c r="R216" s="363">
        <v>0</v>
      </c>
      <c r="S216" s="363">
        <v>0</v>
      </c>
      <c r="T216" s="363">
        <v>0</v>
      </c>
      <c r="U216" s="363">
        <v>0</v>
      </c>
      <c r="V216" s="363">
        <v>0</v>
      </c>
      <c r="W216" s="363">
        <v>0</v>
      </c>
      <c r="X216" s="363">
        <v>0</v>
      </c>
      <c r="Y216" s="363">
        <v>0</v>
      </c>
      <c r="Z216" s="363">
        <v>0</v>
      </c>
    </row>
    <row r="217" spans="1:28">
      <c r="A217" s="364" t="s">
        <v>450</v>
      </c>
      <c r="C217" s="366">
        <v>3.437627303823839E-2</v>
      </c>
      <c r="D217" s="366">
        <v>4.8427386218007268E-2</v>
      </c>
      <c r="E217" s="366">
        <v>4.4548334382222624E-2</v>
      </c>
      <c r="F217" s="366">
        <v>4.4072565992379137E-3</v>
      </c>
      <c r="G217" s="366">
        <v>0.22485781425603676</v>
      </c>
      <c r="H217" s="366">
        <v>0.17611148794474932</v>
      </c>
      <c r="I217" s="366">
        <v>4.1741972952556099E-2</v>
      </c>
      <c r="J217" s="366">
        <v>0</v>
      </c>
      <c r="K217" s="366">
        <v>0</v>
      </c>
      <c r="L217" s="366">
        <v>0</v>
      </c>
      <c r="M217" s="367">
        <v>0</v>
      </c>
      <c r="N217" s="366">
        <v>0</v>
      </c>
      <c r="O217" s="363">
        <v>0</v>
      </c>
      <c r="P217" s="363">
        <v>0</v>
      </c>
      <c r="Q217" s="363">
        <v>0</v>
      </c>
      <c r="R217" s="363">
        <v>0</v>
      </c>
      <c r="S217" s="363">
        <v>0</v>
      </c>
      <c r="T217" s="363">
        <v>0</v>
      </c>
      <c r="U217" s="363">
        <v>0</v>
      </c>
      <c r="V217" s="363">
        <v>0</v>
      </c>
      <c r="W217" s="363">
        <v>0</v>
      </c>
      <c r="X217" s="363">
        <v>0</v>
      </c>
      <c r="Y217" s="363">
        <v>0</v>
      </c>
      <c r="Z217" s="363">
        <v>0</v>
      </c>
      <c r="AA217" s="363">
        <v>0</v>
      </c>
      <c r="AB217" s="363">
        <v>0</v>
      </c>
    </row>
    <row r="218" spans="1:28">
      <c r="A218" s="364" t="s">
        <v>50</v>
      </c>
      <c r="C218" s="366">
        <v>988878.16833333333</v>
      </c>
      <c r="D218" s="366">
        <v>226911.7111111111</v>
      </c>
      <c r="E218" s="366">
        <v>580146.23333333328</v>
      </c>
      <c r="F218" s="366">
        <v>207459.78416666668</v>
      </c>
      <c r="G218" s="366">
        <v>113825.13333333333</v>
      </c>
      <c r="H218" s="366">
        <v>64309.813333333339</v>
      </c>
      <c r="I218" s="366">
        <v>2181530.8436111109</v>
      </c>
      <c r="J218" s="366">
        <v>125051.19777777778</v>
      </c>
      <c r="K218" s="366">
        <v>858078.77711111121</v>
      </c>
      <c r="L218" s="366">
        <v>508880.35833333328</v>
      </c>
      <c r="M218" s="367">
        <v>145727.51077777782</v>
      </c>
      <c r="N218" s="366">
        <v>1637737.8439999998</v>
      </c>
      <c r="O218" s="363">
        <v>82707.03306666667</v>
      </c>
      <c r="P218" s="363">
        <v>36175.061844444441</v>
      </c>
      <c r="Q218" s="363">
        <v>14183.737222222222</v>
      </c>
      <c r="R218" s="363">
        <v>133065.83213333334</v>
      </c>
      <c r="S218" s="363">
        <v>1319.0333333333333</v>
      </c>
      <c r="T218" s="363">
        <v>1319.0333333333333</v>
      </c>
      <c r="U218" s="363">
        <v>177494.33888888892</v>
      </c>
      <c r="V218" s="363">
        <v>177494.33888888892</v>
      </c>
      <c r="W218" s="363">
        <v>63929.571111111116</v>
      </c>
      <c r="X218" s="363">
        <v>63929.571111111116</v>
      </c>
      <c r="Y218" s="363">
        <v>16049.134444444444</v>
      </c>
      <c r="Z218" s="363">
        <v>16049.134444444444</v>
      </c>
    </row>
    <row r="219" spans="1:28">
      <c r="A219" s="364" t="s">
        <v>452</v>
      </c>
      <c r="C219" s="366">
        <v>1012003.5700000001</v>
      </c>
      <c r="D219" s="366">
        <v>237054.10833333334</v>
      </c>
      <c r="E219" s="366">
        <v>597011.71666666667</v>
      </c>
      <c r="F219" s="366">
        <v>213107.64999999997</v>
      </c>
      <c r="G219" s="366">
        <v>119939.7</v>
      </c>
      <c r="H219" s="366">
        <v>68071.125</v>
      </c>
      <c r="I219" s="366">
        <v>2247187.87</v>
      </c>
      <c r="J219" s="366">
        <v>135555.44111111111</v>
      </c>
      <c r="K219" s="366">
        <v>947539.01222222217</v>
      </c>
      <c r="L219" s="366">
        <v>563981.65333333332</v>
      </c>
      <c r="M219" s="367">
        <v>164156.08944444446</v>
      </c>
      <c r="N219" s="366">
        <v>1811232.1961111112</v>
      </c>
      <c r="O219" s="363">
        <v>97418.848888888897</v>
      </c>
      <c r="P219" s="363">
        <v>38752.838722222215</v>
      </c>
      <c r="Q219" s="363">
        <v>16730.460555555554</v>
      </c>
      <c r="R219" s="363">
        <v>152902.14816666668</v>
      </c>
      <c r="S219" s="363">
        <v>420.12</v>
      </c>
      <c r="T219" s="363">
        <v>420.12</v>
      </c>
      <c r="U219" s="363">
        <v>88576.364444444451</v>
      </c>
      <c r="V219" s="363">
        <v>88576.364444444451</v>
      </c>
      <c r="W219" s="363">
        <v>69845.473333333328</v>
      </c>
      <c r="X219" s="363">
        <v>69845.473333333328</v>
      </c>
      <c r="Y219" s="363">
        <v>18310.771111111113</v>
      </c>
      <c r="Z219" s="363">
        <v>18310.771111111113</v>
      </c>
    </row>
    <row r="220" spans="1:28">
      <c r="A220" s="364" t="s">
        <v>454</v>
      </c>
      <c r="C220" s="366">
        <v>2.3385491162821605E-2</v>
      </c>
      <c r="D220" s="366">
        <v>4.469754854237476E-2</v>
      </c>
      <c r="E220" s="366">
        <v>2.9071089949907768E-2</v>
      </c>
      <c r="F220" s="366">
        <v>2.7223906821362678E-2</v>
      </c>
      <c r="G220" s="366">
        <v>5.3718950179134681E-2</v>
      </c>
      <c r="H220" s="366">
        <v>5.8487367194970372E-2</v>
      </c>
      <c r="I220" s="366">
        <v>3.0096767405867347E-2</v>
      </c>
      <c r="J220" s="366">
        <v>8.3999541947610099E-2</v>
      </c>
      <c r="K220" s="366">
        <v>0.10425643600264313</v>
      </c>
      <c r="L220" s="366">
        <v>0.1082794690297457</v>
      </c>
      <c r="M220" s="367">
        <v>0.12645916044478844</v>
      </c>
      <c r="N220" s="366">
        <v>0.10593536245542845</v>
      </c>
      <c r="O220" s="363">
        <v>0.17787865525733004</v>
      </c>
      <c r="P220" s="363">
        <v>7.125839587676211E-2</v>
      </c>
      <c r="Q220" s="363">
        <v>0.17955234882265581</v>
      </c>
      <c r="R220" s="363">
        <v>0.14907144618054274</v>
      </c>
      <c r="S220" s="363">
        <v>-0.68149402340097542</v>
      </c>
      <c r="T220" s="363">
        <v>-0.68149402340097542</v>
      </c>
      <c r="U220" s="363">
        <v>-0.50096231238173139</v>
      </c>
      <c r="V220" s="363">
        <v>-0.50096231238173139</v>
      </c>
      <c r="W220" s="363">
        <v>9.2537805578896085E-2</v>
      </c>
      <c r="X220" s="363">
        <v>9.2537805578896085E-2</v>
      </c>
      <c r="Y220" s="363">
        <v>0.14091954145536836</v>
      </c>
      <c r="Z220" s="363">
        <v>0.14091954145536836</v>
      </c>
      <c r="AA220" s="363">
        <v>0</v>
      </c>
      <c r="AB220" s="363">
        <v>0</v>
      </c>
    </row>
  </sheetData>
  <phoneticPr fontId="0" type="noConversion"/>
  <pageMargins left="0.5" right="0.5" top="1" bottom="1" header="0.5" footer="0.5"/>
  <pageSetup scale="95" pageOrder="overThenDown" orientation="landscape" r:id="rId2"/>
  <headerFooter alignWithMargins="0">
    <oddHeader>&amp;L&amp;"Arial,Bold"&amp;10SREB-State Data Exchange&amp;C&amp;"Arial,Bold"&amp;10Preliminary Tables&amp;R&amp;"Arial,Bold"&amp;10Part 4: FTE Enrollment</oddHeader>
    <oddFooter>&amp;L&amp;"Arial,Bold"&amp;10For Agency Review Only&amp;R&amp;"Arial,Bold"&amp;10October 2009</oddFooter>
  </headerFooter>
  <rowBreaks count="15" manualBreakCount="15">
    <brk id="16" max="16383" man="1"/>
    <brk id="28" max="16383" man="1"/>
    <brk id="40" max="16383" man="1"/>
    <brk id="52" max="16383" man="1"/>
    <brk id="64" max="16383" man="1"/>
    <brk id="76" max="16383" man="1"/>
    <brk id="88" max="16383" man="1"/>
    <brk id="100" max="16383" man="1"/>
    <brk id="112" max="16383" man="1"/>
    <brk id="124" max="16383" man="1"/>
    <brk id="136" max="16383" man="1"/>
    <brk id="148" max="16383" man="1"/>
    <brk id="160" max="16383" man="1"/>
    <brk id="172" max="16383" man="1"/>
    <brk id="1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tabColor rgb="FF339933"/>
  </sheetPr>
  <dimension ref="A1:AQ141"/>
  <sheetViews>
    <sheetView zoomScale="80" zoomScaleNormal="80" workbookViewId="0">
      <selection sqref="A1:XFD1048576"/>
    </sheetView>
  </sheetViews>
  <sheetFormatPr defaultRowHeight="12.75"/>
  <cols>
    <col min="1" max="1" width="5" style="320" customWidth="1"/>
    <col min="2" max="2" width="31.6640625" style="320" customWidth="1"/>
    <col min="3" max="8" width="15.1640625" style="320" customWidth="1"/>
    <col min="9" max="9" width="17.5" style="320" customWidth="1"/>
    <col min="10" max="13" width="13.6640625" style="320" customWidth="1"/>
    <col min="14" max="14" width="17.5" style="320" customWidth="1"/>
    <col min="15" max="17" width="12.83203125" style="320" customWidth="1"/>
    <col min="18" max="18" width="16.6640625" style="320" customWidth="1"/>
    <col min="19" max="19" width="8.33203125" style="320" customWidth="1"/>
    <col min="20" max="20" width="9.33203125" style="320" customWidth="1"/>
    <col min="21" max="22" width="11.5" style="320" customWidth="1"/>
    <col min="23" max="23" width="9.5" style="320" customWidth="1"/>
    <col min="24" max="24" width="10.6640625" style="320" customWidth="1"/>
    <col min="25" max="25" width="10.1640625" style="320" customWidth="1"/>
    <col min="26" max="26" width="13.6640625" style="320" bestFit="1" customWidth="1"/>
    <col min="27" max="32" width="9.33203125" style="320"/>
    <col min="33" max="33" width="9.33203125" style="366"/>
    <col min="34" max="41" width="9.33203125" style="320"/>
    <col min="42" max="42" width="10.1640625" style="320" customWidth="1"/>
    <col min="43" max="43" width="10.83203125" style="320" customWidth="1"/>
    <col min="44" max="16384" width="9.33203125" style="320"/>
  </cols>
  <sheetData>
    <row r="1" spans="1:43">
      <c r="E1" s="416" t="s">
        <v>835</v>
      </c>
      <c r="L1" s="418"/>
      <c r="M1" s="1"/>
    </row>
    <row r="3" spans="1:43" s="1" customFormat="1">
      <c r="A3" s="319"/>
      <c r="B3" s="325"/>
      <c r="C3" s="743" t="s">
        <v>394</v>
      </c>
      <c r="D3" s="744" t="s">
        <v>462</v>
      </c>
      <c r="E3" s="325"/>
      <c r="F3" s="325"/>
      <c r="G3" s="325"/>
      <c r="H3" s="325"/>
      <c r="I3" s="325"/>
      <c r="J3" s="325"/>
      <c r="K3" s="325"/>
      <c r="L3" s="325"/>
      <c r="M3" s="325"/>
      <c r="N3" s="325"/>
      <c r="O3" s="325"/>
      <c r="P3" s="325"/>
      <c r="Q3" s="325"/>
      <c r="R3" s="325"/>
      <c r="S3" s="325"/>
      <c r="T3" s="325"/>
      <c r="U3" s="630"/>
      <c r="V3" s="630"/>
      <c r="W3" s="630"/>
      <c r="X3" s="630"/>
      <c r="Y3" s="325"/>
      <c r="Z3" s="745"/>
      <c r="AG3" s="4"/>
    </row>
    <row r="4" spans="1:43" s="1" customFormat="1">
      <c r="A4" s="326"/>
      <c r="B4" s="327"/>
      <c r="C4" s="319" t="s">
        <v>418</v>
      </c>
      <c r="D4" s="325"/>
      <c r="E4" s="325"/>
      <c r="F4" s="325"/>
      <c r="G4" s="325"/>
      <c r="H4" s="325"/>
      <c r="I4" s="319" t="s">
        <v>73</v>
      </c>
      <c r="J4" s="319" t="s">
        <v>436</v>
      </c>
      <c r="K4" s="325"/>
      <c r="L4" s="325"/>
      <c r="M4" s="325"/>
      <c r="N4" s="319" t="s">
        <v>74</v>
      </c>
      <c r="O4" s="319" t="s">
        <v>374</v>
      </c>
      <c r="P4" s="325"/>
      <c r="Q4" s="325"/>
      <c r="R4" s="319" t="s">
        <v>75</v>
      </c>
      <c r="S4" s="319">
        <v>15</v>
      </c>
      <c r="T4" s="319" t="s">
        <v>76</v>
      </c>
      <c r="U4" s="631" t="s">
        <v>861</v>
      </c>
      <c r="V4" s="631" t="s">
        <v>869</v>
      </c>
      <c r="W4" s="631" t="s">
        <v>862</v>
      </c>
      <c r="X4" s="631" t="s">
        <v>870</v>
      </c>
      <c r="Y4" s="319" t="s">
        <v>980</v>
      </c>
      <c r="Z4" s="746" t="s">
        <v>981</v>
      </c>
      <c r="AA4" s="421"/>
      <c r="AB4" s="421"/>
      <c r="AC4" s="421"/>
      <c r="AD4" s="421"/>
      <c r="AE4" s="421"/>
      <c r="AF4" s="420" t="s">
        <v>73</v>
      </c>
      <c r="AG4" s="428" t="s">
        <v>436</v>
      </c>
      <c r="AH4" s="421"/>
      <c r="AI4" s="421"/>
      <c r="AJ4" s="421"/>
      <c r="AK4" s="420" t="s">
        <v>74</v>
      </c>
      <c r="AL4" s="420" t="s">
        <v>374</v>
      </c>
      <c r="AM4" s="421"/>
      <c r="AN4" s="421"/>
      <c r="AO4" s="420" t="s">
        <v>75</v>
      </c>
      <c r="AP4" s="420">
        <v>15</v>
      </c>
      <c r="AQ4" s="422" t="s">
        <v>76</v>
      </c>
    </row>
    <row r="5" spans="1:43" s="1" customFormat="1">
      <c r="A5" s="743" t="s">
        <v>463</v>
      </c>
      <c r="B5" s="743" t="s">
        <v>410</v>
      </c>
      <c r="C5" s="319">
        <v>1</v>
      </c>
      <c r="D5" s="328">
        <v>2</v>
      </c>
      <c r="E5" s="328">
        <v>3</v>
      </c>
      <c r="F5" s="328">
        <v>4</v>
      </c>
      <c r="G5" s="328">
        <v>5</v>
      </c>
      <c r="H5" s="328">
        <v>6</v>
      </c>
      <c r="I5" s="326"/>
      <c r="J5" s="319">
        <v>7</v>
      </c>
      <c r="K5" s="328">
        <v>8</v>
      </c>
      <c r="L5" s="328">
        <v>9</v>
      </c>
      <c r="M5" s="328">
        <v>10</v>
      </c>
      <c r="N5" s="326"/>
      <c r="O5" s="319">
        <v>12</v>
      </c>
      <c r="P5" s="328">
        <v>13</v>
      </c>
      <c r="Q5" s="328">
        <v>14</v>
      </c>
      <c r="R5" s="326"/>
      <c r="S5" s="319">
        <v>15</v>
      </c>
      <c r="T5" s="326"/>
      <c r="U5" s="631" t="s">
        <v>861</v>
      </c>
      <c r="V5" s="632"/>
      <c r="W5" s="631" t="s">
        <v>862</v>
      </c>
      <c r="X5" s="632"/>
      <c r="Y5" s="319" t="s">
        <v>980</v>
      </c>
      <c r="Z5" s="747"/>
      <c r="AA5" s="423">
        <v>2</v>
      </c>
      <c r="AB5" s="423">
        <v>3</v>
      </c>
      <c r="AC5" s="423">
        <v>4</v>
      </c>
      <c r="AD5" s="423">
        <v>5</v>
      </c>
      <c r="AE5" s="423">
        <v>6</v>
      </c>
      <c r="AF5" s="424"/>
      <c r="AG5" s="428">
        <v>7</v>
      </c>
      <c r="AH5" s="423">
        <v>8</v>
      </c>
      <c r="AI5" s="423">
        <v>9</v>
      </c>
      <c r="AJ5" s="423">
        <v>10</v>
      </c>
      <c r="AK5" s="424"/>
      <c r="AL5" s="420">
        <v>12</v>
      </c>
      <c r="AM5" s="423">
        <v>13</v>
      </c>
      <c r="AN5" s="423">
        <v>14</v>
      </c>
      <c r="AO5" s="424"/>
      <c r="AP5" s="420">
        <v>15</v>
      </c>
      <c r="AQ5" s="425"/>
    </row>
    <row r="6" spans="1:43">
      <c r="A6" s="329" t="s">
        <v>84</v>
      </c>
      <c r="B6" s="319" t="s">
        <v>58</v>
      </c>
      <c r="C6" s="323">
        <v>0</v>
      </c>
      <c r="D6" s="324">
        <v>0</v>
      </c>
      <c r="E6" s="324">
        <v>0</v>
      </c>
      <c r="F6" s="324">
        <v>0</v>
      </c>
      <c r="G6" s="324">
        <v>0</v>
      </c>
      <c r="H6" s="324">
        <v>0</v>
      </c>
      <c r="I6" s="323">
        <v>0</v>
      </c>
      <c r="J6" s="323">
        <v>0</v>
      </c>
      <c r="K6" s="324">
        <v>0</v>
      </c>
      <c r="L6" s="324">
        <v>0</v>
      </c>
      <c r="M6" s="324">
        <v>0</v>
      </c>
      <c r="N6" s="323">
        <v>0</v>
      </c>
      <c r="O6" s="323">
        <v>0</v>
      </c>
      <c r="P6" s="324">
        <v>0</v>
      </c>
      <c r="Q6" s="324">
        <v>0</v>
      </c>
      <c r="R6" s="323">
        <v>0</v>
      </c>
      <c r="S6" s="323">
        <v>0</v>
      </c>
      <c r="T6" s="323">
        <v>0</v>
      </c>
      <c r="U6" s="323">
        <v>0</v>
      </c>
      <c r="V6" s="633">
        <v>0</v>
      </c>
      <c r="W6" s="323">
        <v>0</v>
      </c>
      <c r="X6" s="633">
        <v>0</v>
      </c>
      <c r="Y6" s="323">
        <v>0</v>
      </c>
      <c r="Z6" s="748">
        <v>0</v>
      </c>
      <c r="AA6" s="427"/>
      <c r="AB6" s="427"/>
      <c r="AC6" s="427"/>
      <c r="AD6" s="427"/>
      <c r="AE6" s="427"/>
      <c r="AF6" s="427"/>
      <c r="AG6" s="431"/>
      <c r="AH6" s="427"/>
      <c r="AI6" s="427"/>
      <c r="AJ6" s="427"/>
      <c r="AK6" s="427"/>
      <c r="AL6" s="427"/>
      <c r="AM6" s="427"/>
      <c r="AN6" s="427"/>
      <c r="AO6" s="427"/>
      <c r="AP6" s="427"/>
      <c r="AQ6" s="427"/>
    </row>
    <row r="7" spans="1:43" s="1" customFormat="1">
      <c r="A7" s="322"/>
      <c r="B7" s="32" t="s">
        <v>62</v>
      </c>
      <c r="C7" s="321">
        <v>0</v>
      </c>
      <c r="D7" s="2">
        <v>0</v>
      </c>
      <c r="E7" s="2">
        <v>0</v>
      </c>
      <c r="F7" s="2">
        <v>0</v>
      </c>
      <c r="G7" s="2">
        <v>0</v>
      </c>
      <c r="H7" s="2">
        <v>0</v>
      </c>
      <c r="I7" s="321">
        <v>0</v>
      </c>
      <c r="J7" s="321">
        <v>0</v>
      </c>
      <c r="K7" s="2">
        <v>0</v>
      </c>
      <c r="L7" s="2">
        <v>0</v>
      </c>
      <c r="M7" s="2">
        <v>0</v>
      </c>
      <c r="N7" s="321">
        <v>0</v>
      </c>
      <c r="O7" s="321">
        <v>0</v>
      </c>
      <c r="P7" s="2">
        <v>0</v>
      </c>
      <c r="Q7" s="2">
        <v>0</v>
      </c>
      <c r="R7" s="321">
        <v>0</v>
      </c>
      <c r="S7" s="321">
        <v>0</v>
      </c>
      <c r="T7" s="321">
        <v>0</v>
      </c>
      <c r="U7" s="321">
        <v>0</v>
      </c>
      <c r="V7" s="634">
        <v>0</v>
      </c>
      <c r="W7" s="321">
        <v>0</v>
      </c>
      <c r="X7" s="634">
        <v>0</v>
      </c>
      <c r="Y7" s="321">
        <v>0</v>
      </c>
      <c r="Z7" s="749">
        <v>0</v>
      </c>
      <c r="AA7" s="108"/>
      <c r="AB7" s="108"/>
      <c r="AC7" s="108"/>
      <c r="AD7" s="108"/>
      <c r="AE7" s="108"/>
      <c r="AF7" s="108"/>
      <c r="AG7" s="430"/>
      <c r="AH7" s="108"/>
      <c r="AI7" s="108"/>
      <c r="AJ7" s="108"/>
      <c r="AK7" s="108"/>
      <c r="AL7" s="108"/>
      <c r="AM7" s="108"/>
      <c r="AN7" s="108"/>
      <c r="AO7" s="108"/>
      <c r="AP7" s="108"/>
      <c r="AQ7" s="108"/>
    </row>
    <row r="8" spans="1:43">
      <c r="A8" s="322"/>
      <c r="B8" s="369" t="s">
        <v>64</v>
      </c>
      <c r="C8" s="369">
        <v>0</v>
      </c>
      <c r="D8" s="370">
        <v>0</v>
      </c>
      <c r="E8" s="370">
        <v>0</v>
      </c>
      <c r="F8" s="370">
        <v>0</v>
      </c>
      <c r="G8" s="370">
        <v>0</v>
      </c>
      <c r="H8" s="370">
        <v>0</v>
      </c>
      <c r="I8" s="369">
        <v>0</v>
      </c>
      <c r="J8" s="369">
        <v>0</v>
      </c>
      <c r="K8" s="370">
        <v>0</v>
      </c>
      <c r="L8" s="370">
        <v>0</v>
      </c>
      <c r="M8" s="370">
        <v>0</v>
      </c>
      <c r="N8" s="369">
        <v>0</v>
      </c>
      <c r="O8" s="369">
        <v>0</v>
      </c>
      <c r="P8" s="370">
        <v>0</v>
      </c>
      <c r="Q8" s="370">
        <v>0</v>
      </c>
      <c r="R8" s="369">
        <v>0</v>
      </c>
      <c r="S8" s="369">
        <v>0</v>
      </c>
      <c r="T8" s="369">
        <v>0</v>
      </c>
      <c r="U8" s="369">
        <v>0</v>
      </c>
      <c r="V8" s="635">
        <v>0</v>
      </c>
      <c r="W8" s="369">
        <v>0</v>
      </c>
      <c r="X8" s="635">
        <v>0</v>
      </c>
      <c r="Y8" s="369">
        <v>0</v>
      </c>
      <c r="Z8" s="760">
        <v>0</v>
      </c>
      <c r="AA8" s="426" t="str">
        <f t="shared" ref="AA8:AQ8" si="0">IF(D8&gt;0,D8,"—")</f>
        <v>—</v>
      </c>
      <c r="AB8" s="426" t="str">
        <f t="shared" si="0"/>
        <v>—</v>
      </c>
      <c r="AC8" s="426" t="str">
        <f t="shared" si="0"/>
        <v>—</v>
      </c>
      <c r="AD8" s="426" t="str">
        <f t="shared" si="0"/>
        <v>—</v>
      </c>
      <c r="AE8" s="426" t="str">
        <f t="shared" si="0"/>
        <v>—</v>
      </c>
      <c r="AF8" s="426" t="str">
        <f t="shared" si="0"/>
        <v>—</v>
      </c>
      <c r="AG8" s="429" t="str">
        <f t="shared" si="0"/>
        <v>—</v>
      </c>
      <c r="AH8" s="426" t="str">
        <f t="shared" si="0"/>
        <v>—</v>
      </c>
      <c r="AI8" s="426" t="str">
        <f t="shared" si="0"/>
        <v>—</v>
      </c>
      <c r="AJ8" s="426" t="str">
        <f t="shared" si="0"/>
        <v>—</v>
      </c>
      <c r="AK8" s="426" t="str">
        <f t="shared" si="0"/>
        <v>—</v>
      </c>
      <c r="AL8" s="426" t="str">
        <f t="shared" si="0"/>
        <v>—</v>
      </c>
      <c r="AM8" s="426" t="str">
        <f t="shared" si="0"/>
        <v>—</v>
      </c>
      <c r="AN8" s="426" t="str">
        <f t="shared" si="0"/>
        <v>—</v>
      </c>
      <c r="AO8" s="426" t="str">
        <f t="shared" si="0"/>
        <v>—</v>
      </c>
      <c r="AP8" s="426" t="str">
        <f t="shared" si="0"/>
        <v>—</v>
      </c>
      <c r="AQ8" s="426" t="str">
        <f t="shared" si="0"/>
        <v>—</v>
      </c>
    </row>
    <row r="9" spans="1:43" s="1" customFormat="1">
      <c r="A9" s="322"/>
      <c r="B9" s="32" t="s">
        <v>59</v>
      </c>
      <c r="C9" s="321">
        <v>0</v>
      </c>
      <c r="D9" s="2">
        <v>0</v>
      </c>
      <c r="E9" s="2">
        <v>0</v>
      </c>
      <c r="F9" s="2">
        <v>0</v>
      </c>
      <c r="G9" s="2">
        <v>0</v>
      </c>
      <c r="H9" s="2">
        <v>0</v>
      </c>
      <c r="I9" s="321">
        <v>0</v>
      </c>
      <c r="J9" s="321">
        <v>0</v>
      </c>
      <c r="K9" s="2">
        <v>0</v>
      </c>
      <c r="L9" s="2">
        <v>0</v>
      </c>
      <c r="M9" s="2">
        <v>0</v>
      </c>
      <c r="N9" s="321">
        <v>0</v>
      </c>
      <c r="O9" s="321">
        <v>0</v>
      </c>
      <c r="P9" s="2">
        <v>0</v>
      </c>
      <c r="Q9" s="2">
        <v>0</v>
      </c>
      <c r="R9" s="321">
        <v>0</v>
      </c>
      <c r="S9" s="321">
        <v>0</v>
      </c>
      <c r="T9" s="321">
        <v>0</v>
      </c>
      <c r="U9" s="321">
        <v>0</v>
      </c>
      <c r="V9" s="634">
        <v>0</v>
      </c>
      <c r="W9" s="321">
        <v>0</v>
      </c>
      <c r="X9" s="634">
        <v>0</v>
      </c>
      <c r="Y9" s="321">
        <v>0</v>
      </c>
      <c r="Z9" s="749">
        <v>0</v>
      </c>
      <c r="AA9" s="108"/>
      <c r="AB9" s="108"/>
      <c r="AC9" s="108"/>
      <c r="AD9" s="108"/>
      <c r="AE9" s="108"/>
      <c r="AF9" s="108"/>
      <c r="AG9" s="430"/>
      <c r="AH9" s="108"/>
      <c r="AI9" s="108"/>
      <c r="AJ9" s="108"/>
      <c r="AK9" s="108"/>
      <c r="AL9" s="108"/>
      <c r="AM9" s="108"/>
      <c r="AN9" s="108"/>
      <c r="AO9" s="108"/>
      <c r="AP9" s="108"/>
      <c r="AQ9" s="108"/>
    </row>
    <row r="10" spans="1:43">
      <c r="A10" s="322"/>
      <c r="B10" s="32" t="s">
        <v>63</v>
      </c>
      <c r="C10" s="321">
        <v>0</v>
      </c>
      <c r="D10" s="2">
        <v>0</v>
      </c>
      <c r="E10" s="2">
        <v>0</v>
      </c>
      <c r="F10" s="2">
        <v>0</v>
      </c>
      <c r="G10" s="2">
        <v>0</v>
      </c>
      <c r="H10" s="2">
        <v>0</v>
      </c>
      <c r="I10" s="321">
        <v>0</v>
      </c>
      <c r="J10" s="321">
        <v>0</v>
      </c>
      <c r="K10" s="2">
        <v>0</v>
      </c>
      <c r="L10" s="2">
        <v>0</v>
      </c>
      <c r="M10" s="2">
        <v>0</v>
      </c>
      <c r="N10" s="321">
        <v>0</v>
      </c>
      <c r="O10" s="321">
        <v>0</v>
      </c>
      <c r="P10" s="2">
        <v>0</v>
      </c>
      <c r="Q10" s="2">
        <v>0</v>
      </c>
      <c r="R10" s="321">
        <v>0</v>
      </c>
      <c r="S10" s="321">
        <v>0</v>
      </c>
      <c r="T10" s="321">
        <v>0</v>
      </c>
      <c r="U10" s="321">
        <v>0</v>
      </c>
      <c r="V10" s="634">
        <v>0</v>
      </c>
      <c r="W10" s="321">
        <v>0</v>
      </c>
      <c r="X10" s="634">
        <v>0</v>
      </c>
      <c r="Y10" s="321">
        <v>0</v>
      </c>
      <c r="Z10" s="749">
        <v>0</v>
      </c>
      <c r="AA10" s="427"/>
      <c r="AB10" s="427"/>
      <c r="AC10" s="427"/>
      <c r="AD10" s="427"/>
      <c r="AE10" s="427"/>
      <c r="AF10" s="427"/>
      <c r="AG10" s="431"/>
      <c r="AH10" s="427"/>
      <c r="AI10" s="427"/>
      <c r="AJ10" s="427"/>
      <c r="AK10" s="427"/>
      <c r="AL10" s="427"/>
      <c r="AM10" s="427"/>
      <c r="AN10" s="427"/>
      <c r="AO10" s="427"/>
      <c r="AP10" s="427"/>
      <c r="AQ10" s="427"/>
    </row>
    <row r="11" spans="1:43" s="1" customFormat="1">
      <c r="A11" s="322"/>
      <c r="B11" s="382" t="s">
        <v>67</v>
      </c>
      <c r="C11" s="382">
        <v>0</v>
      </c>
      <c r="D11" s="383">
        <v>0</v>
      </c>
      <c r="E11" s="383">
        <v>0</v>
      </c>
      <c r="F11" s="383">
        <v>0</v>
      </c>
      <c r="G11" s="383">
        <v>0</v>
      </c>
      <c r="H11" s="383">
        <v>0</v>
      </c>
      <c r="I11" s="382">
        <v>0</v>
      </c>
      <c r="J11" s="382">
        <v>0</v>
      </c>
      <c r="K11" s="383">
        <v>0</v>
      </c>
      <c r="L11" s="383">
        <v>0</v>
      </c>
      <c r="M11" s="383">
        <v>0</v>
      </c>
      <c r="N11" s="382">
        <v>0</v>
      </c>
      <c r="O11" s="382">
        <v>0</v>
      </c>
      <c r="P11" s="383">
        <v>0</v>
      </c>
      <c r="Q11" s="383">
        <v>0</v>
      </c>
      <c r="R11" s="382">
        <v>0</v>
      </c>
      <c r="S11" s="382">
        <v>0</v>
      </c>
      <c r="T11" s="382">
        <v>0</v>
      </c>
      <c r="U11" s="382">
        <v>0</v>
      </c>
      <c r="V11" s="636">
        <v>0</v>
      </c>
      <c r="W11" s="382">
        <v>0</v>
      </c>
      <c r="X11" s="636">
        <v>0</v>
      </c>
      <c r="Y11" s="382">
        <v>0</v>
      </c>
      <c r="Z11" s="750">
        <v>0</v>
      </c>
      <c r="AA11" s="426" t="str">
        <f t="shared" ref="AA11:AQ11" si="1">IF(D11&gt;0,D11,"—")</f>
        <v>—</v>
      </c>
      <c r="AB11" s="426" t="str">
        <f t="shared" si="1"/>
        <v>—</v>
      </c>
      <c r="AC11" s="426" t="str">
        <f t="shared" si="1"/>
        <v>—</v>
      </c>
      <c r="AD11" s="426" t="str">
        <f t="shared" si="1"/>
        <v>—</v>
      </c>
      <c r="AE11" s="426" t="str">
        <f t="shared" si="1"/>
        <v>—</v>
      </c>
      <c r="AF11" s="426" t="str">
        <f t="shared" si="1"/>
        <v>—</v>
      </c>
      <c r="AG11" s="429" t="str">
        <f t="shared" si="1"/>
        <v>—</v>
      </c>
      <c r="AH11" s="426" t="str">
        <f t="shared" si="1"/>
        <v>—</v>
      </c>
      <c r="AI11" s="426" t="str">
        <f t="shared" si="1"/>
        <v>—</v>
      </c>
      <c r="AJ11" s="426" t="str">
        <f t="shared" si="1"/>
        <v>—</v>
      </c>
      <c r="AK11" s="426" t="str">
        <f t="shared" si="1"/>
        <v>—</v>
      </c>
      <c r="AL11" s="426" t="str">
        <f t="shared" si="1"/>
        <v>—</v>
      </c>
      <c r="AM11" s="426" t="str">
        <f t="shared" si="1"/>
        <v>—</v>
      </c>
      <c r="AN11" s="426" t="str">
        <f t="shared" si="1"/>
        <v>—</v>
      </c>
      <c r="AO11" s="426" t="str">
        <f t="shared" si="1"/>
        <v>—</v>
      </c>
      <c r="AP11" s="426" t="str">
        <f t="shared" si="1"/>
        <v>—</v>
      </c>
      <c r="AQ11" s="426" t="str">
        <f t="shared" si="1"/>
        <v>—</v>
      </c>
    </row>
    <row r="12" spans="1:43">
      <c r="A12" s="330"/>
      <c r="B12" s="417" t="s">
        <v>836</v>
      </c>
      <c r="C12" s="419">
        <v>0</v>
      </c>
      <c r="D12" s="765">
        <v>0</v>
      </c>
      <c r="E12" s="765">
        <v>0</v>
      </c>
      <c r="F12" s="765">
        <v>0</v>
      </c>
      <c r="G12" s="765">
        <v>0</v>
      </c>
      <c r="H12" s="765">
        <v>0</v>
      </c>
      <c r="I12" s="764">
        <v>0</v>
      </c>
      <c r="J12" s="764">
        <v>0</v>
      </c>
      <c r="K12" s="765">
        <v>0</v>
      </c>
      <c r="L12" s="765">
        <v>0</v>
      </c>
      <c r="M12" s="765">
        <v>0</v>
      </c>
      <c r="N12" s="764">
        <v>0</v>
      </c>
      <c r="O12" s="764">
        <v>0</v>
      </c>
      <c r="P12" s="765">
        <v>0</v>
      </c>
      <c r="Q12" s="765">
        <v>0</v>
      </c>
      <c r="R12" s="764">
        <v>0</v>
      </c>
      <c r="S12" s="764">
        <v>0</v>
      </c>
      <c r="T12" s="764">
        <v>0</v>
      </c>
      <c r="U12" s="764">
        <v>0</v>
      </c>
      <c r="V12" s="774">
        <v>0</v>
      </c>
      <c r="W12" s="764">
        <v>0</v>
      </c>
      <c r="X12" s="774">
        <v>0</v>
      </c>
      <c r="Y12" s="764">
        <v>0</v>
      </c>
      <c r="Z12" s="766">
        <v>0</v>
      </c>
      <c r="AA12" s="640" t="str">
        <f t="shared" ref="AA12:AQ12" si="2">IF(OR((AA8="—"),(AA11="—")),"—",(AA11-AA8))</f>
        <v>—</v>
      </c>
      <c r="AB12" s="640" t="str">
        <f t="shared" si="2"/>
        <v>—</v>
      </c>
      <c r="AC12" s="640" t="str">
        <f t="shared" si="2"/>
        <v>—</v>
      </c>
      <c r="AD12" s="640" t="str">
        <f t="shared" si="2"/>
        <v>—</v>
      </c>
      <c r="AE12" s="640" t="str">
        <f t="shared" si="2"/>
        <v>—</v>
      </c>
      <c r="AF12" s="640" t="str">
        <f t="shared" si="2"/>
        <v>—</v>
      </c>
      <c r="AG12" s="641" t="str">
        <f t="shared" si="2"/>
        <v>—</v>
      </c>
      <c r="AH12" s="640" t="str">
        <f t="shared" si="2"/>
        <v>—</v>
      </c>
      <c r="AI12" s="640" t="str">
        <f t="shared" si="2"/>
        <v>—</v>
      </c>
      <c r="AJ12" s="640" t="str">
        <f t="shared" si="2"/>
        <v>—</v>
      </c>
      <c r="AK12" s="640" t="str">
        <f t="shared" si="2"/>
        <v>—</v>
      </c>
      <c r="AL12" s="640" t="str">
        <f t="shared" si="2"/>
        <v>—</v>
      </c>
      <c r="AM12" s="640" t="str">
        <f t="shared" si="2"/>
        <v>—</v>
      </c>
      <c r="AN12" s="640" t="str">
        <f t="shared" si="2"/>
        <v>—</v>
      </c>
      <c r="AO12" s="640" t="str">
        <f t="shared" si="2"/>
        <v>—</v>
      </c>
      <c r="AP12" s="640" t="str">
        <f t="shared" si="2"/>
        <v>—</v>
      </c>
      <c r="AQ12" s="640" t="str">
        <f t="shared" si="2"/>
        <v>—</v>
      </c>
    </row>
    <row r="13" spans="1:43" s="1" customFormat="1">
      <c r="A13" s="329" t="s">
        <v>727</v>
      </c>
      <c r="B13" s="319" t="s">
        <v>58</v>
      </c>
      <c r="C13" s="323">
        <v>428450</v>
      </c>
      <c r="D13" s="324">
        <v>0</v>
      </c>
      <c r="E13" s="324">
        <v>768421</v>
      </c>
      <c r="F13" s="324">
        <v>280066</v>
      </c>
      <c r="G13" s="324">
        <v>154608</v>
      </c>
      <c r="H13" s="324">
        <v>251217</v>
      </c>
      <c r="I13" s="323">
        <v>1882762</v>
      </c>
      <c r="J13" s="323">
        <v>0</v>
      </c>
      <c r="K13" s="324">
        <v>190235</v>
      </c>
      <c r="L13" s="324">
        <v>231545</v>
      </c>
      <c r="M13" s="324">
        <v>680448</v>
      </c>
      <c r="N13" s="323">
        <v>1102228</v>
      </c>
      <c r="O13" s="323">
        <v>0</v>
      </c>
      <c r="P13" s="324">
        <v>0</v>
      </c>
      <c r="Q13" s="324">
        <v>0</v>
      </c>
      <c r="R13" s="323">
        <v>0</v>
      </c>
      <c r="S13" s="323">
        <v>0</v>
      </c>
      <c r="T13" s="323">
        <v>0</v>
      </c>
      <c r="U13" s="323">
        <v>0</v>
      </c>
      <c r="V13" s="633">
        <v>0</v>
      </c>
      <c r="W13" s="323">
        <v>0</v>
      </c>
      <c r="X13" s="633">
        <v>0</v>
      </c>
      <c r="Y13" s="323">
        <v>0</v>
      </c>
      <c r="Z13" s="748">
        <v>0</v>
      </c>
      <c r="AA13" s="108"/>
      <c r="AB13" s="108"/>
      <c r="AC13" s="108"/>
      <c r="AD13" s="108"/>
      <c r="AE13" s="108"/>
      <c r="AF13" s="108"/>
      <c r="AG13" s="430"/>
      <c r="AH13" s="108"/>
      <c r="AI13" s="108"/>
      <c r="AJ13" s="108"/>
      <c r="AK13" s="108"/>
      <c r="AL13" s="108"/>
      <c r="AM13" s="108"/>
      <c r="AN13" s="108"/>
      <c r="AO13" s="108"/>
      <c r="AP13" s="108"/>
      <c r="AQ13" s="108"/>
    </row>
    <row r="14" spans="1:43" s="1" customFormat="1">
      <c r="A14" s="322"/>
      <c r="B14" s="32" t="s">
        <v>62</v>
      </c>
      <c r="C14" s="321">
        <v>101</v>
      </c>
      <c r="D14" s="2">
        <v>0</v>
      </c>
      <c r="E14" s="2">
        <v>19593</v>
      </c>
      <c r="F14" s="2">
        <v>2663</v>
      </c>
      <c r="G14" s="2">
        <v>4179</v>
      </c>
      <c r="H14" s="2">
        <v>7332</v>
      </c>
      <c r="I14" s="321">
        <v>33868</v>
      </c>
      <c r="J14" s="321">
        <v>0</v>
      </c>
      <c r="K14" s="2">
        <v>3025</v>
      </c>
      <c r="L14" s="2">
        <v>12918</v>
      </c>
      <c r="M14" s="2">
        <v>52543</v>
      </c>
      <c r="N14" s="321">
        <v>68486</v>
      </c>
      <c r="O14" s="321">
        <v>0</v>
      </c>
      <c r="P14" s="2">
        <v>0</v>
      </c>
      <c r="Q14" s="2">
        <v>0</v>
      </c>
      <c r="R14" s="321">
        <v>0</v>
      </c>
      <c r="S14" s="321">
        <v>0</v>
      </c>
      <c r="T14" s="321">
        <v>0</v>
      </c>
      <c r="U14" s="321">
        <v>0</v>
      </c>
      <c r="V14" s="634">
        <v>0</v>
      </c>
      <c r="W14" s="321">
        <v>0</v>
      </c>
      <c r="X14" s="634">
        <v>0</v>
      </c>
      <c r="Y14" s="321">
        <v>0</v>
      </c>
      <c r="Z14" s="749">
        <v>0</v>
      </c>
      <c r="AA14" s="108"/>
      <c r="AB14" s="108"/>
      <c r="AC14" s="108"/>
      <c r="AD14" s="108"/>
      <c r="AE14" s="108"/>
      <c r="AF14" s="108"/>
      <c r="AG14" s="430"/>
      <c r="AH14" s="108"/>
      <c r="AI14" s="108"/>
      <c r="AJ14" s="108"/>
      <c r="AK14" s="108"/>
      <c r="AL14" s="108"/>
      <c r="AM14" s="108"/>
      <c r="AN14" s="108"/>
      <c r="AO14" s="108"/>
      <c r="AP14" s="108"/>
      <c r="AQ14" s="108"/>
    </row>
    <row r="15" spans="1:43">
      <c r="A15" s="322"/>
      <c r="B15" s="369" t="s">
        <v>64</v>
      </c>
      <c r="C15" s="751">
        <v>2.3573345781304704E-4</v>
      </c>
      <c r="D15" s="752">
        <v>0</v>
      </c>
      <c r="E15" s="752">
        <v>2.5497741472448047E-2</v>
      </c>
      <c r="F15" s="370">
        <v>9.5084730027921987E-3</v>
      </c>
      <c r="G15" s="752">
        <v>2.7029649177274139E-2</v>
      </c>
      <c r="H15" s="752">
        <v>2.9185922927190439E-2</v>
      </c>
      <c r="I15" s="751">
        <v>1.7988465881508126E-2</v>
      </c>
      <c r="J15" s="751">
        <v>0</v>
      </c>
      <c r="K15" s="752">
        <v>1.5901385128919494E-2</v>
      </c>
      <c r="L15" s="752">
        <v>5.5790451100218102E-2</v>
      </c>
      <c r="M15" s="752">
        <v>7.7218244450714818E-2</v>
      </c>
      <c r="N15" s="751">
        <v>6.2134150103245425E-2</v>
      </c>
      <c r="O15" s="751">
        <v>0</v>
      </c>
      <c r="P15" s="752">
        <v>0</v>
      </c>
      <c r="Q15" s="752">
        <v>0</v>
      </c>
      <c r="R15" s="751">
        <v>0</v>
      </c>
      <c r="S15" s="751">
        <v>0</v>
      </c>
      <c r="T15" s="751">
        <v>0</v>
      </c>
      <c r="U15" s="751">
        <v>0</v>
      </c>
      <c r="V15" s="775">
        <v>0</v>
      </c>
      <c r="W15" s="751">
        <v>0</v>
      </c>
      <c r="X15" s="775">
        <v>0</v>
      </c>
      <c r="Y15" s="751">
        <v>0</v>
      </c>
      <c r="Z15" s="753">
        <v>0</v>
      </c>
      <c r="AA15" s="426" t="str">
        <f t="shared" ref="AA15:AQ15" si="3">IF(D15&gt;0,D15,"—")</f>
        <v>—</v>
      </c>
      <c r="AB15" s="426">
        <f t="shared" si="3"/>
        <v>2.5497741472448047E-2</v>
      </c>
      <c r="AC15" s="426">
        <f t="shared" si="3"/>
        <v>9.5084730027921987E-3</v>
      </c>
      <c r="AD15" s="426">
        <f t="shared" si="3"/>
        <v>2.7029649177274139E-2</v>
      </c>
      <c r="AE15" s="426">
        <f t="shared" si="3"/>
        <v>2.9185922927190439E-2</v>
      </c>
      <c r="AF15" s="426">
        <f t="shared" si="3"/>
        <v>1.7988465881508126E-2</v>
      </c>
      <c r="AG15" s="429" t="str">
        <f t="shared" si="3"/>
        <v>—</v>
      </c>
      <c r="AH15" s="426">
        <f t="shared" si="3"/>
        <v>1.5901385128919494E-2</v>
      </c>
      <c r="AI15" s="426">
        <f t="shared" si="3"/>
        <v>5.5790451100218102E-2</v>
      </c>
      <c r="AJ15" s="426">
        <f t="shared" si="3"/>
        <v>7.7218244450714818E-2</v>
      </c>
      <c r="AK15" s="426">
        <f t="shared" si="3"/>
        <v>6.2134150103245425E-2</v>
      </c>
      <c r="AL15" s="426" t="str">
        <f t="shared" si="3"/>
        <v>—</v>
      </c>
      <c r="AM15" s="426" t="str">
        <f t="shared" si="3"/>
        <v>—</v>
      </c>
      <c r="AN15" s="426" t="str">
        <f t="shared" si="3"/>
        <v>—</v>
      </c>
      <c r="AO15" s="426" t="str">
        <f t="shared" si="3"/>
        <v>—</v>
      </c>
      <c r="AP15" s="426" t="str">
        <f t="shared" si="3"/>
        <v>—</v>
      </c>
      <c r="AQ15" s="426" t="str">
        <f t="shared" si="3"/>
        <v>—</v>
      </c>
    </row>
    <row r="16" spans="1:43" s="1" customFormat="1">
      <c r="A16" s="322"/>
      <c r="B16" s="32" t="s">
        <v>59</v>
      </c>
      <c r="C16" s="321">
        <v>440897</v>
      </c>
      <c r="D16" s="2">
        <v>0</v>
      </c>
      <c r="E16" s="2">
        <v>774318</v>
      </c>
      <c r="F16" s="2">
        <v>275738</v>
      </c>
      <c r="G16" s="2">
        <v>143643</v>
      </c>
      <c r="H16" s="2">
        <v>273473</v>
      </c>
      <c r="I16" s="321">
        <v>1908069</v>
      </c>
      <c r="J16" s="321">
        <v>0</v>
      </c>
      <c r="K16" s="2">
        <v>212397</v>
      </c>
      <c r="L16" s="2">
        <v>254364</v>
      </c>
      <c r="M16" s="2">
        <v>754620</v>
      </c>
      <c r="N16" s="321">
        <v>1221381</v>
      </c>
      <c r="O16" s="321">
        <v>0</v>
      </c>
      <c r="P16" s="2">
        <v>0</v>
      </c>
      <c r="Q16" s="2">
        <v>0</v>
      </c>
      <c r="R16" s="321">
        <v>0</v>
      </c>
      <c r="S16" s="321">
        <v>0</v>
      </c>
      <c r="T16" s="321">
        <v>0</v>
      </c>
      <c r="U16" s="321">
        <v>0</v>
      </c>
      <c r="V16" s="634">
        <v>0</v>
      </c>
      <c r="W16" s="321">
        <v>0</v>
      </c>
      <c r="X16" s="634">
        <v>0</v>
      </c>
      <c r="Y16" s="321">
        <v>0</v>
      </c>
      <c r="Z16" s="749">
        <v>0</v>
      </c>
      <c r="AA16" s="108"/>
      <c r="AB16" s="108"/>
      <c r="AC16" s="108"/>
      <c r="AD16" s="108"/>
      <c r="AE16" s="108"/>
      <c r="AF16" s="108"/>
      <c r="AG16" s="430"/>
      <c r="AH16" s="108"/>
      <c r="AI16" s="108"/>
      <c r="AJ16" s="108"/>
      <c r="AK16" s="108"/>
      <c r="AL16" s="108"/>
      <c r="AM16" s="108"/>
      <c r="AN16" s="108"/>
      <c r="AO16" s="108"/>
      <c r="AP16" s="108"/>
      <c r="AQ16" s="108"/>
    </row>
    <row r="17" spans="1:43">
      <c r="A17" s="322"/>
      <c r="B17" s="32" t="s">
        <v>63</v>
      </c>
      <c r="C17" s="321">
        <v>99</v>
      </c>
      <c r="D17" s="2">
        <v>0</v>
      </c>
      <c r="E17" s="2">
        <v>21645</v>
      </c>
      <c r="F17" s="2">
        <v>4063</v>
      </c>
      <c r="G17" s="2">
        <v>3926</v>
      </c>
      <c r="H17" s="2">
        <v>7708</v>
      </c>
      <c r="I17" s="321">
        <v>37441</v>
      </c>
      <c r="J17" s="321">
        <v>0</v>
      </c>
      <c r="K17" s="2">
        <v>3173</v>
      </c>
      <c r="L17" s="2">
        <v>12582</v>
      </c>
      <c r="M17" s="2">
        <v>53280</v>
      </c>
      <c r="N17" s="321">
        <v>69035</v>
      </c>
      <c r="O17" s="321">
        <v>0</v>
      </c>
      <c r="P17" s="2">
        <v>0</v>
      </c>
      <c r="Q17" s="2">
        <v>0</v>
      </c>
      <c r="R17" s="321">
        <v>0</v>
      </c>
      <c r="S17" s="321">
        <v>0</v>
      </c>
      <c r="T17" s="321">
        <v>0</v>
      </c>
      <c r="U17" s="321">
        <v>0</v>
      </c>
      <c r="V17" s="634">
        <v>0</v>
      </c>
      <c r="W17" s="321">
        <v>0</v>
      </c>
      <c r="X17" s="634">
        <v>0</v>
      </c>
      <c r="Y17" s="321">
        <v>0</v>
      </c>
      <c r="Z17" s="749">
        <v>0</v>
      </c>
      <c r="AA17" s="427"/>
      <c r="AB17" s="427"/>
      <c r="AC17" s="427"/>
      <c r="AD17" s="427"/>
      <c r="AE17" s="427"/>
      <c r="AF17" s="427"/>
      <c r="AG17" s="431"/>
      <c r="AH17" s="427"/>
      <c r="AI17" s="427"/>
      <c r="AJ17" s="427"/>
      <c r="AK17" s="427"/>
      <c r="AL17" s="427"/>
      <c r="AM17" s="427"/>
      <c r="AN17" s="427"/>
      <c r="AO17" s="427"/>
      <c r="AP17" s="427"/>
      <c r="AQ17" s="427"/>
    </row>
    <row r="18" spans="1:43" s="1" customFormat="1">
      <c r="A18" s="322"/>
      <c r="B18" s="369" t="s">
        <v>67</v>
      </c>
      <c r="C18" s="321">
        <v>2.2454224002431406E-4</v>
      </c>
      <c r="D18" s="2">
        <v>0</v>
      </c>
      <c r="E18" s="2">
        <v>2.795363145374381E-2</v>
      </c>
      <c r="F18" s="2">
        <v>1.4735002067179714E-2</v>
      </c>
      <c r="G18" s="2">
        <v>2.7331648601045647E-2</v>
      </c>
      <c r="H18" s="2">
        <v>2.8185597846953812E-2</v>
      </c>
      <c r="I18" s="321">
        <v>1.9622456001329093E-2</v>
      </c>
      <c r="J18" s="321">
        <v>0</v>
      </c>
      <c r="K18" s="2">
        <v>1.4939005729836108E-2</v>
      </c>
      <c r="L18" s="2">
        <v>4.9464546869840073E-2</v>
      </c>
      <c r="M18" s="2">
        <v>7.0605072751848616E-2</v>
      </c>
      <c r="N18" s="321">
        <v>5.652208442738179E-2</v>
      </c>
      <c r="O18" s="321">
        <v>0</v>
      </c>
      <c r="P18" s="2">
        <v>0</v>
      </c>
      <c r="Q18" s="2">
        <v>0</v>
      </c>
      <c r="R18" s="321">
        <v>0</v>
      </c>
      <c r="S18" s="321">
        <v>0</v>
      </c>
      <c r="T18" s="321">
        <v>0</v>
      </c>
      <c r="U18" s="321">
        <v>0</v>
      </c>
      <c r="V18" s="634">
        <v>0</v>
      </c>
      <c r="W18" s="321">
        <v>0</v>
      </c>
      <c r="X18" s="634">
        <v>0</v>
      </c>
      <c r="Y18" s="321">
        <v>0</v>
      </c>
      <c r="Z18" s="749">
        <v>0</v>
      </c>
      <c r="AA18" s="426" t="str">
        <f t="shared" ref="AA18:AQ18" si="4">IF(D18&gt;0,D18,"—")</f>
        <v>—</v>
      </c>
      <c r="AB18" s="426">
        <f t="shared" si="4"/>
        <v>2.795363145374381E-2</v>
      </c>
      <c r="AC18" s="426">
        <f t="shared" si="4"/>
        <v>1.4735002067179714E-2</v>
      </c>
      <c r="AD18" s="426">
        <f t="shared" si="4"/>
        <v>2.7331648601045647E-2</v>
      </c>
      <c r="AE18" s="426">
        <f t="shared" si="4"/>
        <v>2.8185597846953812E-2</v>
      </c>
      <c r="AF18" s="426">
        <f t="shared" si="4"/>
        <v>1.9622456001329093E-2</v>
      </c>
      <c r="AG18" s="429" t="str">
        <f t="shared" si="4"/>
        <v>—</v>
      </c>
      <c r="AH18" s="426">
        <f t="shared" si="4"/>
        <v>1.4939005729836108E-2</v>
      </c>
      <c r="AI18" s="426">
        <f t="shared" si="4"/>
        <v>4.9464546869840073E-2</v>
      </c>
      <c r="AJ18" s="426">
        <f t="shared" si="4"/>
        <v>7.0605072751848616E-2</v>
      </c>
      <c r="AK18" s="426">
        <f t="shared" si="4"/>
        <v>5.652208442738179E-2</v>
      </c>
      <c r="AL18" s="426" t="str">
        <f t="shared" si="4"/>
        <v>—</v>
      </c>
      <c r="AM18" s="426" t="str">
        <f t="shared" si="4"/>
        <v>—</v>
      </c>
      <c r="AN18" s="426" t="str">
        <f t="shared" si="4"/>
        <v>—</v>
      </c>
      <c r="AO18" s="426" t="str">
        <f t="shared" si="4"/>
        <v>—</v>
      </c>
      <c r="AP18" s="426" t="str">
        <f t="shared" si="4"/>
        <v>—</v>
      </c>
      <c r="AQ18" s="426" t="str">
        <f t="shared" si="4"/>
        <v>—</v>
      </c>
    </row>
    <row r="19" spans="1:43">
      <c r="A19" s="322"/>
      <c r="B19" s="32" t="s">
        <v>836</v>
      </c>
      <c r="C19" s="757">
        <v>-1.1191217788732979E-5</v>
      </c>
      <c r="D19" s="758">
        <v>0</v>
      </c>
      <c r="E19" s="758">
        <v>2.4558899812957627E-3</v>
      </c>
      <c r="F19" s="758">
        <v>5.226529064387515E-3</v>
      </c>
      <c r="G19" s="758">
        <v>3.0199942377150818E-4</v>
      </c>
      <c r="H19" s="758">
        <v>-1.0003250802366262E-3</v>
      </c>
      <c r="I19" s="757">
        <v>1.6339901198209675E-3</v>
      </c>
      <c r="J19" s="757">
        <v>0</v>
      </c>
      <c r="K19" s="758">
        <v>-9.6237939908338545E-4</v>
      </c>
      <c r="L19" s="758">
        <v>-6.3259042303780294E-3</v>
      </c>
      <c r="M19" s="758">
        <v>-6.613171698866202E-3</v>
      </c>
      <c r="N19" s="757">
        <v>-5.6120656758636353E-3</v>
      </c>
      <c r="O19" s="757">
        <v>0</v>
      </c>
      <c r="P19" s="758">
        <v>0</v>
      </c>
      <c r="Q19" s="758">
        <v>0</v>
      </c>
      <c r="R19" s="757">
        <v>0</v>
      </c>
      <c r="S19" s="757">
        <v>0</v>
      </c>
      <c r="T19" s="757">
        <v>0</v>
      </c>
      <c r="U19" s="757">
        <v>0</v>
      </c>
      <c r="V19" s="776">
        <v>0</v>
      </c>
      <c r="W19" s="757">
        <v>0</v>
      </c>
      <c r="X19" s="776">
        <v>0</v>
      </c>
      <c r="Y19" s="757">
        <v>0</v>
      </c>
      <c r="Z19" s="759">
        <v>0</v>
      </c>
      <c r="AA19" s="640" t="str">
        <f t="shared" ref="AA19:AQ19" si="5">IF(OR((AA15="—"),(AA18="—")),"—",(AA18-AA15))</f>
        <v>—</v>
      </c>
      <c r="AB19" s="640">
        <f t="shared" si="5"/>
        <v>2.4558899812957627E-3</v>
      </c>
      <c r="AC19" s="640">
        <f t="shared" si="5"/>
        <v>5.226529064387515E-3</v>
      </c>
      <c r="AD19" s="640">
        <f t="shared" si="5"/>
        <v>3.0199942377150818E-4</v>
      </c>
      <c r="AE19" s="640">
        <f t="shared" si="5"/>
        <v>-1.0003250802366262E-3</v>
      </c>
      <c r="AF19" s="640">
        <f t="shared" si="5"/>
        <v>1.6339901198209675E-3</v>
      </c>
      <c r="AG19" s="641" t="str">
        <f t="shared" si="5"/>
        <v>—</v>
      </c>
      <c r="AH19" s="640">
        <f t="shared" si="5"/>
        <v>-9.6237939908338545E-4</v>
      </c>
      <c r="AI19" s="640">
        <f t="shared" si="5"/>
        <v>-6.3259042303780294E-3</v>
      </c>
      <c r="AJ19" s="640">
        <f t="shared" si="5"/>
        <v>-6.613171698866202E-3</v>
      </c>
      <c r="AK19" s="640">
        <f t="shared" si="5"/>
        <v>-5.6120656758636353E-3</v>
      </c>
      <c r="AL19" s="640" t="str">
        <f t="shared" si="5"/>
        <v>—</v>
      </c>
      <c r="AM19" s="640" t="str">
        <f t="shared" si="5"/>
        <v>—</v>
      </c>
      <c r="AN19" s="640" t="str">
        <f t="shared" si="5"/>
        <v>—</v>
      </c>
      <c r="AO19" s="640" t="str">
        <f t="shared" si="5"/>
        <v>—</v>
      </c>
      <c r="AP19" s="640" t="str">
        <f t="shared" si="5"/>
        <v>—</v>
      </c>
      <c r="AQ19" s="640" t="str">
        <f t="shared" si="5"/>
        <v>—</v>
      </c>
    </row>
    <row r="20" spans="1:43" s="1" customFormat="1">
      <c r="A20" s="329" t="s">
        <v>48</v>
      </c>
      <c r="B20" s="319" t="s">
        <v>58</v>
      </c>
      <c r="C20" s="323">
        <v>505108</v>
      </c>
      <c r="D20" s="324">
        <v>0</v>
      </c>
      <c r="E20" s="324">
        <v>0</v>
      </c>
      <c r="F20" s="324">
        <v>96111</v>
      </c>
      <c r="G20" s="324">
        <v>0</v>
      </c>
      <c r="H20" s="324">
        <v>0</v>
      </c>
      <c r="I20" s="323">
        <v>601219</v>
      </c>
      <c r="J20" s="323">
        <v>0</v>
      </c>
      <c r="K20" s="324">
        <v>0</v>
      </c>
      <c r="L20" s="324">
        <v>289277</v>
      </c>
      <c r="M20" s="324">
        <v>0</v>
      </c>
      <c r="N20" s="323">
        <v>289277</v>
      </c>
      <c r="O20" s="323">
        <v>0</v>
      </c>
      <c r="P20" s="324">
        <v>0</v>
      </c>
      <c r="Q20" s="324">
        <v>0</v>
      </c>
      <c r="R20" s="323">
        <v>0</v>
      </c>
      <c r="S20" s="323">
        <v>0</v>
      </c>
      <c r="T20" s="323">
        <v>0</v>
      </c>
      <c r="U20" s="323">
        <v>0</v>
      </c>
      <c r="V20" s="633">
        <v>0</v>
      </c>
      <c r="W20" s="323">
        <v>0</v>
      </c>
      <c r="X20" s="633">
        <v>0</v>
      </c>
      <c r="Y20" s="323">
        <v>0</v>
      </c>
      <c r="Z20" s="748">
        <v>0</v>
      </c>
      <c r="AA20" s="108"/>
      <c r="AB20" s="108"/>
      <c r="AC20" s="108"/>
      <c r="AD20" s="108"/>
      <c r="AE20" s="108"/>
      <c r="AF20" s="108"/>
      <c r="AG20" s="430"/>
      <c r="AH20" s="108"/>
      <c r="AI20" s="108"/>
      <c r="AJ20" s="108"/>
      <c r="AK20" s="108"/>
      <c r="AL20" s="108"/>
      <c r="AM20" s="108"/>
      <c r="AN20" s="108"/>
      <c r="AO20" s="108"/>
      <c r="AP20" s="108"/>
      <c r="AQ20" s="108"/>
    </row>
    <row r="21" spans="1:43">
      <c r="A21" s="322"/>
      <c r="B21" s="32" t="s">
        <v>62</v>
      </c>
      <c r="C21" s="321">
        <v>273</v>
      </c>
      <c r="D21" s="2">
        <v>0</v>
      </c>
      <c r="E21" s="2">
        <v>0</v>
      </c>
      <c r="F21" s="2">
        <v>0</v>
      </c>
      <c r="G21" s="2">
        <v>0</v>
      </c>
      <c r="H21" s="2">
        <v>0</v>
      </c>
      <c r="I21" s="321">
        <v>273</v>
      </c>
      <c r="J21" s="321">
        <v>0</v>
      </c>
      <c r="K21" s="2">
        <v>0</v>
      </c>
      <c r="L21" s="2">
        <v>230</v>
      </c>
      <c r="M21" s="2">
        <v>0</v>
      </c>
      <c r="N21" s="321">
        <v>230</v>
      </c>
      <c r="O21" s="321">
        <v>0</v>
      </c>
      <c r="P21" s="2">
        <v>0</v>
      </c>
      <c r="Q21" s="2">
        <v>0</v>
      </c>
      <c r="R21" s="321">
        <v>0</v>
      </c>
      <c r="S21" s="321">
        <v>0</v>
      </c>
      <c r="T21" s="321">
        <v>0</v>
      </c>
      <c r="U21" s="321">
        <v>0</v>
      </c>
      <c r="V21" s="634">
        <v>0</v>
      </c>
      <c r="W21" s="321">
        <v>0</v>
      </c>
      <c r="X21" s="634">
        <v>0</v>
      </c>
      <c r="Y21" s="321">
        <v>0</v>
      </c>
      <c r="Z21" s="749">
        <v>0</v>
      </c>
      <c r="AA21" s="427"/>
      <c r="AB21" s="427"/>
      <c r="AC21" s="427"/>
      <c r="AD21" s="427"/>
      <c r="AE21" s="427"/>
      <c r="AF21" s="427"/>
      <c r="AG21" s="431"/>
      <c r="AH21" s="427"/>
      <c r="AI21" s="427"/>
      <c r="AJ21" s="427"/>
      <c r="AK21" s="427"/>
      <c r="AL21" s="427"/>
      <c r="AM21" s="427"/>
      <c r="AN21" s="427"/>
      <c r="AO21" s="427"/>
      <c r="AP21" s="427"/>
      <c r="AQ21" s="427"/>
    </row>
    <row r="22" spans="1:43" s="1" customFormat="1">
      <c r="A22" s="322"/>
      <c r="B22" s="369" t="s">
        <v>64</v>
      </c>
      <c r="C22" s="321">
        <v>5.4047847193075538E-4</v>
      </c>
      <c r="D22" s="2">
        <v>0</v>
      </c>
      <c r="E22" s="2">
        <v>0</v>
      </c>
      <c r="F22" s="370">
        <v>0</v>
      </c>
      <c r="G22" s="2">
        <v>0</v>
      </c>
      <c r="H22" s="2">
        <v>0</v>
      </c>
      <c r="I22" s="321">
        <v>4.5407746594834826E-4</v>
      </c>
      <c r="J22" s="321">
        <v>0</v>
      </c>
      <c r="K22" s="2">
        <v>0</v>
      </c>
      <c r="L22" s="2">
        <v>7.9508567912416127E-4</v>
      </c>
      <c r="M22" s="2">
        <v>0</v>
      </c>
      <c r="N22" s="321">
        <v>7.9508567912416127E-4</v>
      </c>
      <c r="O22" s="321">
        <v>0</v>
      </c>
      <c r="P22" s="2">
        <v>0</v>
      </c>
      <c r="Q22" s="2">
        <v>0</v>
      </c>
      <c r="R22" s="321">
        <v>0</v>
      </c>
      <c r="S22" s="321">
        <v>0</v>
      </c>
      <c r="T22" s="321">
        <v>0</v>
      </c>
      <c r="U22" s="321">
        <v>0</v>
      </c>
      <c r="V22" s="634">
        <v>0</v>
      </c>
      <c r="W22" s="321">
        <v>0</v>
      </c>
      <c r="X22" s="634">
        <v>0</v>
      </c>
      <c r="Y22" s="321">
        <v>0</v>
      </c>
      <c r="Z22" s="749">
        <v>0</v>
      </c>
      <c r="AA22" s="426" t="str">
        <f t="shared" ref="AA22:AQ22" si="6">IF(D22&gt;0,D22,"—")</f>
        <v>—</v>
      </c>
      <c r="AB22" s="426" t="str">
        <f t="shared" si="6"/>
        <v>—</v>
      </c>
      <c r="AC22" s="426" t="str">
        <f t="shared" si="6"/>
        <v>—</v>
      </c>
      <c r="AD22" s="426" t="str">
        <f t="shared" si="6"/>
        <v>—</v>
      </c>
      <c r="AE22" s="426" t="str">
        <f t="shared" si="6"/>
        <v>—</v>
      </c>
      <c r="AF22" s="426">
        <f t="shared" si="6"/>
        <v>4.5407746594834826E-4</v>
      </c>
      <c r="AG22" s="429" t="str">
        <f t="shared" si="6"/>
        <v>—</v>
      </c>
      <c r="AH22" s="426" t="str">
        <f t="shared" si="6"/>
        <v>—</v>
      </c>
      <c r="AI22" s="426">
        <f t="shared" si="6"/>
        <v>7.9508567912416127E-4</v>
      </c>
      <c r="AJ22" s="426" t="str">
        <f t="shared" si="6"/>
        <v>—</v>
      </c>
      <c r="AK22" s="426">
        <f t="shared" si="6"/>
        <v>7.9508567912416127E-4</v>
      </c>
      <c r="AL22" s="426" t="str">
        <f t="shared" si="6"/>
        <v>—</v>
      </c>
      <c r="AM22" s="426" t="str">
        <f t="shared" si="6"/>
        <v>—</v>
      </c>
      <c r="AN22" s="426" t="str">
        <f t="shared" si="6"/>
        <v>—</v>
      </c>
      <c r="AO22" s="426" t="str">
        <f t="shared" si="6"/>
        <v>—</v>
      </c>
      <c r="AP22" s="426" t="str">
        <f t="shared" si="6"/>
        <v>—</v>
      </c>
      <c r="AQ22" s="426" t="str">
        <f t="shared" si="6"/>
        <v>—</v>
      </c>
    </row>
    <row r="23" spans="1:43">
      <c r="A23" s="322"/>
      <c r="B23" s="32" t="s">
        <v>59</v>
      </c>
      <c r="C23" s="321">
        <v>513975</v>
      </c>
      <c r="D23" s="2">
        <v>0</v>
      </c>
      <c r="E23" s="2">
        <v>0</v>
      </c>
      <c r="F23" s="2">
        <v>93428</v>
      </c>
      <c r="G23" s="2">
        <v>0</v>
      </c>
      <c r="H23" s="2">
        <v>0</v>
      </c>
      <c r="I23" s="321">
        <v>607403</v>
      </c>
      <c r="J23" s="321">
        <v>0</v>
      </c>
      <c r="K23" s="2">
        <v>0</v>
      </c>
      <c r="L23" s="2">
        <v>327208</v>
      </c>
      <c r="M23" s="2">
        <v>0</v>
      </c>
      <c r="N23" s="321">
        <v>327208</v>
      </c>
      <c r="O23" s="321">
        <v>0</v>
      </c>
      <c r="P23" s="2">
        <v>0</v>
      </c>
      <c r="Q23" s="2">
        <v>0</v>
      </c>
      <c r="R23" s="321">
        <v>0</v>
      </c>
      <c r="S23" s="321">
        <v>0</v>
      </c>
      <c r="T23" s="321">
        <v>0</v>
      </c>
      <c r="U23" s="321">
        <v>0</v>
      </c>
      <c r="V23" s="634">
        <v>0</v>
      </c>
      <c r="W23" s="321">
        <v>0</v>
      </c>
      <c r="X23" s="634">
        <v>0</v>
      </c>
      <c r="Y23" s="321">
        <v>0</v>
      </c>
      <c r="Z23" s="749">
        <v>0</v>
      </c>
      <c r="AA23" s="108"/>
      <c r="AB23" s="108"/>
      <c r="AC23" s="108"/>
      <c r="AD23" s="108"/>
      <c r="AE23" s="108"/>
      <c r="AF23" s="108"/>
      <c r="AG23" s="430"/>
      <c r="AH23" s="108"/>
      <c r="AI23" s="108"/>
      <c r="AJ23" s="108"/>
      <c r="AK23" s="108"/>
      <c r="AL23" s="108"/>
      <c r="AM23" s="108"/>
      <c r="AN23" s="108"/>
      <c r="AO23" s="108"/>
      <c r="AP23" s="108"/>
      <c r="AQ23" s="108"/>
    </row>
    <row r="24" spans="1:43" s="1" customFormat="1">
      <c r="A24" s="322"/>
      <c r="B24" s="32" t="s">
        <v>63</v>
      </c>
      <c r="C24" s="321">
        <v>327</v>
      </c>
      <c r="D24" s="2">
        <v>0</v>
      </c>
      <c r="E24" s="2">
        <v>0</v>
      </c>
      <c r="F24" s="2">
        <v>138</v>
      </c>
      <c r="G24" s="2">
        <v>0</v>
      </c>
      <c r="H24" s="2">
        <v>0</v>
      </c>
      <c r="I24" s="321">
        <v>465</v>
      </c>
      <c r="J24" s="321">
        <v>0</v>
      </c>
      <c r="K24" s="2">
        <v>0</v>
      </c>
      <c r="L24" s="2">
        <v>274</v>
      </c>
      <c r="M24" s="2">
        <v>0</v>
      </c>
      <c r="N24" s="321">
        <v>274</v>
      </c>
      <c r="O24" s="321">
        <v>0</v>
      </c>
      <c r="P24" s="2">
        <v>0</v>
      </c>
      <c r="Q24" s="2">
        <v>0</v>
      </c>
      <c r="R24" s="321">
        <v>0</v>
      </c>
      <c r="S24" s="321">
        <v>0</v>
      </c>
      <c r="T24" s="321">
        <v>0</v>
      </c>
      <c r="U24" s="321">
        <v>0</v>
      </c>
      <c r="V24" s="634">
        <v>0</v>
      </c>
      <c r="W24" s="321">
        <v>0</v>
      </c>
      <c r="X24" s="634">
        <v>0</v>
      </c>
      <c r="Y24" s="321">
        <v>0</v>
      </c>
      <c r="Z24" s="749">
        <v>0</v>
      </c>
      <c r="AA24" s="427"/>
      <c r="AB24" s="427"/>
      <c r="AC24" s="427"/>
      <c r="AD24" s="427"/>
      <c r="AE24" s="427"/>
      <c r="AF24" s="427"/>
      <c r="AG24" s="431"/>
      <c r="AH24" s="427"/>
      <c r="AI24" s="427"/>
      <c r="AJ24" s="427"/>
      <c r="AK24" s="427"/>
      <c r="AL24" s="427"/>
      <c r="AM24" s="427"/>
      <c r="AN24" s="427"/>
      <c r="AO24" s="427"/>
      <c r="AP24" s="427"/>
      <c r="AQ24" s="427"/>
    </row>
    <row r="25" spans="1:43">
      <c r="A25" s="322"/>
      <c r="B25" s="369" t="s">
        <v>67</v>
      </c>
      <c r="C25" s="321">
        <v>6.3621771486940023E-4</v>
      </c>
      <c r="D25" s="2">
        <v>0</v>
      </c>
      <c r="E25" s="2">
        <v>0</v>
      </c>
      <c r="F25" s="2">
        <v>1.4770732542706683E-3</v>
      </c>
      <c r="G25" s="2">
        <v>0</v>
      </c>
      <c r="H25" s="2">
        <v>0</v>
      </c>
      <c r="I25" s="321">
        <v>7.655543354247509E-4</v>
      </c>
      <c r="J25" s="321">
        <v>0</v>
      </c>
      <c r="K25" s="2">
        <v>0</v>
      </c>
      <c r="L25" s="2">
        <v>8.3738783892814352E-4</v>
      </c>
      <c r="M25" s="2">
        <v>0</v>
      </c>
      <c r="N25" s="321">
        <v>8.3738783892814352E-4</v>
      </c>
      <c r="O25" s="321">
        <v>0</v>
      </c>
      <c r="P25" s="2">
        <v>0</v>
      </c>
      <c r="Q25" s="2">
        <v>0</v>
      </c>
      <c r="R25" s="321">
        <v>0</v>
      </c>
      <c r="S25" s="321">
        <v>0</v>
      </c>
      <c r="T25" s="321">
        <v>0</v>
      </c>
      <c r="U25" s="321">
        <v>0</v>
      </c>
      <c r="V25" s="634">
        <v>0</v>
      </c>
      <c r="W25" s="321">
        <v>0</v>
      </c>
      <c r="X25" s="634">
        <v>0</v>
      </c>
      <c r="Y25" s="321">
        <v>0</v>
      </c>
      <c r="Z25" s="749">
        <v>0</v>
      </c>
      <c r="AA25" s="426" t="str">
        <f t="shared" ref="AA25:AQ25" si="7">IF(D25&gt;0,D25,"—")</f>
        <v>—</v>
      </c>
      <c r="AB25" s="426" t="str">
        <f t="shared" si="7"/>
        <v>—</v>
      </c>
      <c r="AC25" s="426">
        <f t="shared" si="7"/>
        <v>1.4770732542706683E-3</v>
      </c>
      <c r="AD25" s="426" t="str">
        <f t="shared" si="7"/>
        <v>—</v>
      </c>
      <c r="AE25" s="426" t="str">
        <f t="shared" si="7"/>
        <v>—</v>
      </c>
      <c r="AF25" s="426">
        <f t="shared" si="7"/>
        <v>7.655543354247509E-4</v>
      </c>
      <c r="AG25" s="429" t="str">
        <f t="shared" si="7"/>
        <v>—</v>
      </c>
      <c r="AH25" s="426" t="str">
        <f t="shared" si="7"/>
        <v>—</v>
      </c>
      <c r="AI25" s="426">
        <f t="shared" si="7"/>
        <v>8.3738783892814352E-4</v>
      </c>
      <c r="AJ25" s="426" t="str">
        <f t="shared" si="7"/>
        <v>—</v>
      </c>
      <c r="AK25" s="426">
        <f t="shared" si="7"/>
        <v>8.3738783892814352E-4</v>
      </c>
      <c r="AL25" s="426" t="str">
        <f t="shared" si="7"/>
        <v>—</v>
      </c>
      <c r="AM25" s="426" t="str">
        <f t="shared" si="7"/>
        <v>—</v>
      </c>
      <c r="AN25" s="426" t="str">
        <f t="shared" si="7"/>
        <v>—</v>
      </c>
      <c r="AO25" s="426" t="str">
        <f t="shared" si="7"/>
        <v>—</v>
      </c>
      <c r="AP25" s="426" t="str">
        <f t="shared" si="7"/>
        <v>—</v>
      </c>
      <c r="AQ25" s="426" t="str">
        <f t="shared" si="7"/>
        <v>—</v>
      </c>
    </row>
    <row r="26" spans="1:43" s="1" customFormat="1">
      <c r="A26" s="322"/>
      <c r="B26" s="32" t="s">
        <v>836</v>
      </c>
      <c r="C26" s="757">
        <v>9.5739242938644854E-5</v>
      </c>
      <c r="D26" s="2">
        <v>0</v>
      </c>
      <c r="E26" s="2">
        <v>0</v>
      </c>
      <c r="F26" s="2">
        <v>1.4770732542706683E-3</v>
      </c>
      <c r="G26" s="2">
        <v>0</v>
      </c>
      <c r="H26" s="2">
        <v>0</v>
      </c>
      <c r="I26" s="321">
        <v>3.1147686947640264E-4</v>
      </c>
      <c r="J26" s="321">
        <v>0</v>
      </c>
      <c r="K26" s="2">
        <v>0</v>
      </c>
      <c r="L26" s="2">
        <v>4.2302159803982251E-5</v>
      </c>
      <c r="M26" s="2">
        <v>0</v>
      </c>
      <c r="N26" s="321">
        <v>4.2302159803982251E-5</v>
      </c>
      <c r="O26" s="321">
        <v>0</v>
      </c>
      <c r="P26" s="2">
        <v>0</v>
      </c>
      <c r="Q26" s="2">
        <v>0</v>
      </c>
      <c r="R26" s="321">
        <v>0</v>
      </c>
      <c r="S26" s="321">
        <v>0</v>
      </c>
      <c r="T26" s="321">
        <v>0</v>
      </c>
      <c r="U26" s="321">
        <v>0</v>
      </c>
      <c r="V26" s="634">
        <v>0</v>
      </c>
      <c r="W26" s="321">
        <v>0</v>
      </c>
      <c r="X26" s="634">
        <v>0</v>
      </c>
      <c r="Y26" s="321">
        <v>0</v>
      </c>
      <c r="Z26" s="749">
        <v>0</v>
      </c>
      <c r="AA26" s="640" t="str">
        <f t="shared" ref="AA26:AQ26" si="8">IF(OR((AA22="—"),(AA25="—")),"—",(AA25-AA22))</f>
        <v>—</v>
      </c>
      <c r="AB26" s="640" t="str">
        <f t="shared" si="8"/>
        <v>—</v>
      </c>
      <c r="AC26" s="640" t="str">
        <f t="shared" si="8"/>
        <v>—</v>
      </c>
      <c r="AD26" s="640" t="str">
        <f t="shared" si="8"/>
        <v>—</v>
      </c>
      <c r="AE26" s="640" t="str">
        <f t="shared" si="8"/>
        <v>—</v>
      </c>
      <c r="AF26" s="640">
        <f t="shared" si="8"/>
        <v>3.1147686947640264E-4</v>
      </c>
      <c r="AG26" s="641" t="str">
        <f t="shared" si="8"/>
        <v>—</v>
      </c>
      <c r="AH26" s="640" t="str">
        <f t="shared" si="8"/>
        <v>—</v>
      </c>
      <c r="AI26" s="640">
        <f t="shared" si="8"/>
        <v>4.2302159803982251E-5</v>
      </c>
      <c r="AJ26" s="640" t="str">
        <f t="shared" si="8"/>
        <v>—</v>
      </c>
      <c r="AK26" s="640">
        <f t="shared" si="8"/>
        <v>4.2302159803982251E-5</v>
      </c>
      <c r="AL26" s="640" t="str">
        <f t="shared" si="8"/>
        <v>—</v>
      </c>
      <c r="AM26" s="640" t="str">
        <f t="shared" si="8"/>
        <v>—</v>
      </c>
      <c r="AN26" s="640" t="str">
        <f t="shared" si="8"/>
        <v>—</v>
      </c>
      <c r="AO26" s="640" t="str">
        <f t="shared" si="8"/>
        <v>—</v>
      </c>
      <c r="AP26" s="640" t="str">
        <f t="shared" si="8"/>
        <v>—</v>
      </c>
      <c r="AQ26" s="640" t="str">
        <f t="shared" si="8"/>
        <v>—</v>
      </c>
    </row>
    <row r="27" spans="1:43">
      <c r="A27" s="329" t="s">
        <v>647</v>
      </c>
      <c r="B27" s="319" t="s">
        <v>58</v>
      </c>
      <c r="C27" s="323">
        <v>4952540</v>
      </c>
      <c r="D27" s="324">
        <v>519566</v>
      </c>
      <c r="E27" s="324">
        <v>888070</v>
      </c>
      <c r="F27" s="324">
        <v>224810</v>
      </c>
      <c r="G27" s="324">
        <v>0</v>
      </c>
      <c r="H27" s="324">
        <v>26948</v>
      </c>
      <c r="I27" s="323">
        <v>6611934</v>
      </c>
      <c r="J27" s="323">
        <v>15042247</v>
      </c>
      <c r="K27" s="324">
        <v>28634675</v>
      </c>
      <c r="L27" s="324">
        <v>3921240</v>
      </c>
      <c r="M27" s="324">
        <v>252766</v>
      </c>
      <c r="N27" s="323">
        <v>47850928</v>
      </c>
      <c r="O27" s="323">
        <v>0</v>
      </c>
      <c r="P27" s="324">
        <v>0</v>
      </c>
      <c r="Q27" s="324">
        <v>0</v>
      </c>
      <c r="R27" s="323">
        <v>0</v>
      </c>
      <c r="S27" s="323">
        <v>0</v>
      </c>
      <c r="T27" s="323">
        <v>0</v>
      </c>
      <c r="U27" s="323">
        <v>0</v>
      </c>
      <c r="V27" s="633">
        <v>0</v>
      </c>
      <c r="W27" s="323">
        <v>0</v>
      </c>
      <c r="X27" s="633">
        <v>0</v>
      </c>
      <c r="Y27" s="323">
        <v>0</v>
      </c>
      <c r="Z27" s="748">
        <v>0</v>
      </c>
      <c r="AA27" s="427"/>
      <c r="AB27" s="427"/>
      <c r="AC27" s="427"/>
      <c r="AD27" s="427"/>
      <c r="AE27" s="427"/>
      <c r="AF27" s="427"/>
      <c r="AG27" s="431"/>
      <c r="AH27" s="427"/>
      <c r="AI27" s="427"/>
      <c r="AJ27" s="427"/>
      <c r="AK27" s="427"/>
      <c r="AL27" s="427"/>
      <c r="AM27" s="427"/>
      <c r="AN27" s="427"/>
      <c r="AO27" s="427"/>
      <c r="AP27" s="427"/>
      <c r="AQ27" s="427"/>
    </row>
    <row r="28" spans="1:43" s="1" customFormat="1">
      <c r="A28" s="322"/>
      <c r="B28" s="32" t="s">
        <v>62</v>
      </c>
      <c r="C28" s="321">
        <v>30761</v>
      </c>
      <c r="D28" s="2">
        <v>3934</v>
      </c>
      <c r="E28" s="2">
        <v>11320</v>
      </c>
      <c r="F28" s="2">
        <v>1673</v>
      </c>
      <c r="G28" s="2">
        <v>0</v>
      </c>
      <c r="H28" s="2">
        <v>68</v>
      </c>
      <c r="I28" s="321">
        <v>47756</v>
      </c>
      <c r="J28" s="321">
        <v>106532</v>
      </c>
      <c r="K28" s="2">
        <v>450766</v>
      </c>
      <c r="L28" s="2">
        <v>186279</v>
      </c>
      <c r="M28" s="2">
        <v>6013</v>
      </c>
      <c r="N28" s="321">
        <v>749590</v>
      </c>
      <c r="O28" s="321">
        <v>0</v>
      </c>
      <c r="P28" s="2">
        <v>0</v>
      </c>
      <c r="Q28" s="2">
        <v>0</v>
      </c>
      <c r="R28" s="321">
        <v>0</v>
      </c>
      <c r="S28" s="321">
        <v>0</v>
      </c>
      <c r="T28" s="321">
        <v>0</v>
      </c>
      <c r="U28" s="321">
        <v>0</v>
      </c>
      <c r="V28" s="634">
        <v>0</v>
      </c>
      <c r="W28" s="321">
        <v>0</v>
      </c>
      <c r="X28" s="634">
        <v>0</v>
      </c>
      <c r="Y28" s="321">
        <v>0</v>
      </c>
      <c r="Z28" s="749">
        <v>0</v>
      </c>
      <c r="AA28" s="108"/>
      <c r="AB28" s="108"/>
      <c r="AC28" s="108"/>
      <c r="AD28" s="108"/>
      <c r="AE28" s="108"/>
      <c r="AF28" s="108"/>
      <c r="AG28" s="430"/>
      <c r="AH28" s="108"/>
      <c r="AI28" s="108"/>
      <c r="AJ28" s="108"/>
      <c r="AK28" s="108"/>
      <c r="AL28" s="108"/>
      <c r="AM28" s="108"/>
      <c r="AN28" s="108"/>
      <c r="AO28" s="108"/>
      <c r="AP28" s="108"/>
      <c r="AQ28" s="108"/>
    </row>
    <row r="29" spans="1:43">
      <c r="A29" s="322"/>
      <c r="B29" s="369" t="s">
        <v>64</v>
      </c>
      <c r="C29" s="321">
        <v>6.2111562955574308E-3</v>
      </c>
      <c r="D29" s="2">
        <v>7.5717040760942787E-3</v>
      </c>
      <c r="E29" s="2">
        <v>1.2746742936930648E-2</v>
      </c>
      <c r="F29" s="370">
        <v>7.4418397758106844E-3</v>
      </c>
      <c r="G29" s="2">
        <v>0</v>
      </c>
      <c r="H29" s="2">
        <v>2.5233783583197269E-3</v>
      </c>
      <c r="I29" s="321">
        <v>7.2226976252334034E-3</v>
      </c>
      <c r="J29" s="321">
        <v>7.0821865908730257E-3</v>
      </c>
      <c r="K29" s="2">
        <v>1.5741963196718663E-2</v>
      </c>
      <c r="L29" s="2">
        <v>4.7505125929552895E-2</v>
      </c>
      <c r="M29" s="2">
        <v>2.3788800708956108E-2</v>
      </c>
      <c r="N29" s="321">
        <v>1.5665108939997986E-2</v>
      </c>
      <c r="O29" s="321">
        <v>0</v>
      </c>
      <c r="P29" s="2">
        <v>0</v>
      </c>
      <c r="Q29" s="2">
        <v>0</v>
      </c>
      <c r="R29" s="321">
        <v>0</v>
      </c>
      <c r="S29" s="321">
        <v>0</v>
      </c>
      <c r="T29" s="321">
        <v>0</v>
      </c>
      <c r="U29" s="321">
        <v>0</v>
      </c>
      <c r="V29" s="634">
        <v>0</v>
      </c>
      <c r="W29" s="321">
        <v>0</v>
      </c>
      <c r="X29" s="634">
        <v>0</v>
      </c>
      <c r="Y29" s="321">
        <v>0</v>
      </c>
      <c r="Z29" s="749">
        <v>0</v>
      </c>
      <c r="AA29" s="426">
        <f t="shared" ref="AA29:AQ29" si="9">IF(D29&gt;0,D29,"—")</f>
        <v>7.5717040760942787E-3</v>
      </c>
      <c r="AB29" s="426">
        <f t="shared" si="9"/>
        <v>1.2746742936930648E-2</v>
      </c>
      <c r="AC29" s="426">
        <f t="shared" si="9"/>
        <v>7.4418397758106844E-3</v>
      </c>
      <c r="AD29" s="426" t="str">
        <f t="shared" si="9"/>
        <v>—</v>
      </c>
      <c r="AE29" s="426">
        <f t="shared" si="9"/>
        <v>2.5233783583197269E-3</v>
      </c>
      <c r="AF29" s="426">
        <f t="shared" si="9"/>
        <v>7.2226976252334034E-3</v>
      </c>
      <c r="AG29" s="429">
        <f t="shared" si="9"/>
        <v>7.0821865908730257E-3</v>
      </c>
      <c r="AH29" s="426">
        <f t="shared" si="9"/>
        <v>1.5741963196718663E-2</v>
      </c>
      <c r="AI29" s="426">
        <f t="shared" si="9"/>
        <v>4.7505125929552895E-2</v>
      </c>
      <c r="AJ29" s="426">
        <f t="shared" si="9"/>
        <v>2.3788800708956108E-2</v>
      </c>
      <c r="AK29" s="426">
        <f t="shared" si="9"/>
        <v>1.5665108939997986E-2</v>
      </c>
      <c r="AL29" s="426" t="str">
        <f t="shared" si="9"/>
        <v>—</v>
      </c>
      <c r="AM29" s="426" t="str">
        <f t="shared" si="9"/>
        <v>—</v>
      </c>
      <c r="AN29" s="426" t="str">
        <f t="shared" si="9"/>
        <v>—</v>
      </c>
      <c r="AO29" s="426" t="str">
        <f t="shared" si="9"/>
        <v>—</v>
      </c>
      <c r="AP29" s="426" t="str">
        <f t="shared" si="9"/>
        <v>—</v>
      </c>
      <c r="AQ29" s="426" t="str">
        <f t="shared" si="9"/>
        <v>—</v>
      </c>
    </row>
    <row r="30" spans="1:43" s="1" customFormat="1">
      <c r="A30" s="322"/>
      <c r="B30" s="32" t="s">
        <v>59</v>
      </c>
      <c r="C30" s="321">
        <v>4997429</v>
      </c>
      <c r="D30" s="2">
        <v>539054</v>
      </c>
      <c r="E30" s="2">
        <v>905167</v>
      </c>
      <c r="F30" s="2">
        <v>247828</v>
      </c>
      <c r="G30" s="2">
        <v>0</v>
      </c>
      <c r="H30" s="2">
        <v>27872</v>
      </c>
      <c r="I30" s="321">
        <v>6717350</v>
      </c>
      <c r="J30" s="321">
        <v>14254783</v>
      </c>
      <c r="K30" s="2">
        <v>28605992</v>
      </c>
      <c r="L30" s="2">
        <v>3892337</v>
      </c>
      <c r="M30" s="2">
        <v>246873</v>
      </c>
      <c r="N30" s="321">
        <v>46999985</v>
      </c>
      <c r="O30" s="321">
        <v>0</v>
      </c>
      <c r="P30" s="2">
        <v>0</v>
      </c>
      <c r="Q30" s="2">
        <v>0</v>
      </c>
      <c r="R30" s="321">
        <v>0</v>
      </c>
      <c r="S30" s="321">
        <v>0</v>
      </c>
      <c r="T30" s="321">
        <v>0</v>
      </c>
      <c r="U30" s="321">
        <v>0</v>
      </c>
      <c r="V30" s="634">
        <v>0</v>
      </c>
      <c r="W30" s="321">
        <v>0</v>
      </c>
      <c r="X30" s="634">
        <v>0</v>
      </c>
      <c r="Y30" s="321">
        <v>0</v>
      </c>
      <c r="Z30" s="749">
        <v>0</v>
      </c>
      <c r="AA30" s="108"/>
      <c r="AB30" s="108"/>
      <c r="AC30" s="108"/>
      <c r="AD30" s="108"/>
      <c r="AE30" s="108"/>
      <c r="AF30" s="108"/>
      <c r="AG30" s="430"/>
      <c r="AH30" s="108"/>
      <c r="AI30" s="108"/>
      <c r="AJ30" s="108"/>
      <c r="AK30" s="108"/>
      <c r="AL30" s="108"/>
      <c r="AM30" s="108"/>
      <c r="AN30" s="108"/>
      <c r="AO30" s="108"/>
      <c r="AP30" s="108"/>
      <c r="AQ30" s="108"/>
    </row>
    <row r="31" spans="1:43">
      <c r="A31" s="322"/>
      <c r="B31" s="32" t="s">
        <v>63</v>
      </c>
      <c r="C31" s="321">
        <v>35995</v>
      </c>
      <c r="D31" s="2">
        <v>4408</v>
      </c>
      <c r="E31" s="2">
        <v>9701</v>
      </c>
      <c r="F31" s="2">
        <v>1977</v>
      </c>
      <c r="G31" s="2">
        <v>0</v>
      </c>
      <c r="H31" s="2">
        <v>56</v>
      </c>
      <c r="I31" s="321">
        <v>52137</v>
      </c>
      <c r="J31" s="321">
        <v>120261</v>
      </c>
      <c r="K31" s="2">
        <v>512828</v>
      </c>
      <c r="L31" s="2">
        <v>183305</v>
      </c>
      <c r="M31" s="2">
        <v>6400</v>
      </c>
      <c r="N31" s="321">
        <v>822794</v>
      </c>
      <c r="O31" s="321">
        <v>0</v>
      </c>
      <c r="P31" s="2">
        <v>0</v>
      </c>
      <c r="Q31" s="2">
        <v>0</v>
      </c>
      <c r="R31" s="321">
        <v>0</v>
      </c>
      <c r="S31" s="321">
        <v>0</v>
      </c>
      <c r="T31" s="321">
        <v>0</v>
      </c>
      <c r="U31" s="321">
        <v>0</v>
      </c>
      <c r="V31" s="634">
        <v>0</v>
      </c>
      <c r="W31" s="321">
        <v>0</v>
      </c>
      <c r="X31" s="634">
        <v>0</v>
      </c>
      <c r="Y31" s="321">
        <v>0</v>
      </c>
      <c r="Z31" s="749">
        <v>0</v>
      </c>
      <c r="AA31" s="427"/>
      <c r="AB31" s="427"/>
      <c r="AC31" s="427"/>
      <c r="AD31" s="427"/>
      <c r="AE31" s="427"/>
      <c r="AF31" s="427"/>
      <c r="AG31" s="431"/>
      <c r="AH31" s="427"/>
      <c r="AI31" s="427"/>
      <c r="AJ31" s="427"/>
      <c r="AK31" s="427"/>
      <c r="AL31" s="427"/>
      <c r="AM31" s="427"/>
      <c r="AN31" s="427"/>
      <c r="AO31" s="427"/>
      <c r="AP31" s="427"/>
      <c r="AQ31" s="427"/>
    </row>
    <row r="32" spans="1:43" s="1" customFormat="1">
      <c r="A32" s="322"/>
      <c r="B32" s="369" t="s">
        <v>67</v>
      </c>
      <c r="C32" s="321">
        <v>7.202703630206652E-3</v>
      </c>
      <c r="D32" s="2">
        <v>8.1772883607208191E-3</v>
      </c>
      <c r="E32" s="2">
        <v>1.0717359338111089E-2</v>
      </c>
      <c r="F32" s="2">
        <v>7.9773068418419225E-3</v>
      </c>
      <c r="G32" s="2">
        <v>0</v>
      </c>
      <c r="H32" s="2">
        <v>2.0091848450057405E-3</v>
      </c>
      <c r="I32" s="321">
        <v>7.7615428703283291E-3</v>
      </c>
      <c r="J32" s="321">
        <v>8.4365367049081003E-3</v>
      </c>
      <c r="K32" s="2">
        <v>1.7927292995117947E-2</v>
      </c>
      <c r="L32" s="2">
        <v>4.7093815360797382E-2</v>
      </c>
      <c r="M32" s="2">
        <v>2.5924260652238195E-2</v>
      </c>
      <c r="N32" s="321">
        <v>1.7506260906253481E-2</v>
      </c>
      <c r="O32" s="321">
        <v>0</v>
      </c>
      <c r="P32" s="2">
        <v>0</v>
      </c>
      <c r="Q32" s="2">
        <v>0</v>
      </c>
      <c r="R32" s="321">
        <v>0</v>
      </c>
      <c r="S32" s="321">
        <v>0</v>
      </c>
      <c r="T32" s="321">
        <v>0</v>
      </c>
      <c r="U32" s="321">
        <v>0</v>
      </c>
      <c r="V32" s="634">
        <v>0</v>
      </c>
      <c r="W32" s="321">
        <v>0</v>
      </c>
      <c r="X32" s="634">
        <v>0</v>
      </c>
      <c r="Y32" s="321">
        <v>0</v>
      </c>
      <c r="Z32" s="749">
        <v>0</v>
      </c>
      <c r="AA32" s="426">
        <f t="shared" ref="AA32:AQ32" si="10">IF(D32&gt;0,D32,"—")</f>
        <v>8.1772883607208191E-3</v>
      </c>
      <c r="AB32" s="426">
        <f t="shared" si="10"/>
        <v>1.0717359338111089E-2</v>
      </c>
      <c r="AC32" s="426">
        <f t="shared" si="10"/>
        <v>7.9773068418419225E-3</v>
      </c>
      <c r="AD32" s="426" t="str">
        <f t="shared" si="10"/>
        <v>—</v>
      </c>
      <c r="AE32" s="426">
        <f t="shared" si="10"/>
        <v>2.0091848450057405E-3</v>
      </c>
      <c r="AF32" s="426">
        <f t="shared" si="10"/>
        <v>7.7615428703283291E-3</v>
      </c>
      <c r="AG32" s="429">
        <f t="shared" si="10"/>
        <v>8.4365367049081003E-3</v>
      </c>
      <c r="AH32" s="426">
        <f t="shared" si="10"/>
        <v>1.7927292995117947E-2</v>
      </c>
      <c r="AI32" s="426">
        <f t="shared" si="10"/>
        <v>4.7093815360797382E-2</v>
      </c>
      <c r="AJ32" s="426">
        <f t="shared" si="10"/>
        <v>2.5924260652238195E-2</v>
      </c>
      <c r="AK32" s="426">
        <f t="shared" si="10"/>
        <v>1.7506260906253481E-2</v>
      </c>
      <c r="AL32" s="426" t="str">
        <f t="shared" si="10"/>
        <v>—</v>
      </c>
      <c r="AM32" s="426" t="str">
        <f t="shared" si="10"/>
        <v>—</v>
      </c>
      <c r="AN32" s="426" t="str">
        <f t="shared" si="10"/>
        <v>—</v>
      </c>
      <c r="AO32" s="426" t="str">
        <f t="shared" si="10"/>
        <v>—</v>
      </c>
      <c r="AP32" s="426" t="str">
        <f t="shared" si="10"/>
        <v>—</v>
      </c>
      <c r="AQ32" s="426" t="str">
        <f t="shared" si="10"/>
        <v>—</v>
      </c>
    </row>
    <row r="33" spans="1:43">
      <c r="A33" s="322"/>
      <c r="B33" s="32" t="s">
        <v>836</v>
      </c>
      <c r="C33" s="757">
        <v>9.9154733464922127E-4</v>
      </c>
      <c r="D33" s="2">
        <v>6.0558428462654038E-4</v>
      </c>
      <c r="E33" s="2">
        <v>-2.0293835988195591E-3</v>
      </c>
      <c r="F33" s="2">
        <v>5.3546706603123818E-4</v>
      </c>
      <c r="G33" s="2">
        <v>0</v>
      </c>
      <c r="H33" s="2">
        <v>-5.141935133139864E-4</v>
      </c>
      <c r="I33" s="321">
        <v>5.3884524509492573E-4</v>
      </c>
      <c r="J33" s="321">
        <v>1.3543501140350746E-3</v>
      </c>
      <c r="K33" s="2">
        <v>2.1853297983992839E-3</v>
      </c>
      <c r="L33" s="2">
        <v>-4.1131056875551297E-4</v>
      </c>
      <c r="M33" s="2">
        <v>2.1354599432820871E-3</v>
      </c>
      <c r="N33" s="321">
        <v>1.841151966255495E-3</v>
      </c>
      <c r="O33" s="321">
        <v>0</v>
      </c>
      <c r="P33" s="2">
        <v>0</v>
      </c>
      <c r="Q33" s="2">
        <v>0</v>
      </c>
      <c r="R33" s="321">
        <v>0</v>
      </c>
      <c r="S33" s="321">
        <v>0</v>
      </c>
      <c r="T33" s="321">
        <v>0</v>
      </c>
      <c r="U33" s="321">
        <v>0</v>
      </c>
      <c r="V33" s="634">
        <v>0</v>
      </c>
      <c r="W33" s="321">
        <v>0</v>
      </c>
      <c r="X33" s="634">
        <v>0</v>
      </c>
      <c r="Y33" s="321">
        <v>0</v>
      </c>
      <c r="Z33" s="749">
        <v>0</v>
      </c>
      <c r="AA33" s="640">
        <f t="shared" ref="AA33:AQ33" si="11">IF(OR((AA29="—"),(AA32="—")),"—",(AA32-AA29))</f>
        <v>6.0558428462654038E-4</v>
      </c>
      <c r="AB33" s="640">
        <f t="shared" si="11"/>
        <v>-2.0293835988195591E-3</v>
      </c>
      <c r="AC33" s="640">
        <f t="shared" si="11"/>
        <v>5.3546706603123818E-4</v>
      </c>
      <c r="AD33" s="640" t="str">
        <f t="shared" si="11"/>
        <v>—</v>
      </c>
      <c r="AE33" s="640">
        <f t="shared" si="11"/>
        <v>-5.141935133139864E-4</v>
      </c>
      <c r="AF33" s="640">
        <f t="shared" si="11"/>
        <v>5.3884524509492573E-4</v>
      </c>
      <c r="AG33" s="641">
        <f t="shared" si="11"/>
        <v>1.3543501140350746E-3</v>
      </c>
      <c r="AH33" s="640">
        <f t="shared" si="11"/>
        <v>2.1853297983992839E-3</v>
      </c>
      <c r="AI33" s="640">
        <f t="shared" si="11"/>
        <v>-4.1131056875551297E-4</v>
      </c>
      <c r="AJ33" s="640">
        <f t="shared" si="11"/>
        <v>2.1354599432820871E-3</v>
      </c>
      <c r="AK33" s="640">
        <f t="shared" si="11"/>
        <v>1.841151966255495E-3</v>
      </c>
      <c r="AL33" s="640" t="str">
        <f t="shared" si="11"/>
        <v>—</v>
      </c>
      <c r="AM33" s="640" t="str">
        <f t="shared" si="11"/>
        <v>—</v>
      </c>
      <c r="AN33" s="640" t="str">
        <f t="shared" si="11"/>
        <v>—</v>
      </c>
      <c r="AO33" s="640" t="str">
        <f t="shared" si="11"/>
        <v>—</v>
      </c>
      <c r="AP33" s="640" t="str">
        <f t="shared" si="11"/>
        <v>—</v>
      </c>
      <c r="AQ33" s="640" t="str">
        <f t="shared" si="11"/>
        <v>—</v>
      </c>
    </row>
    <row r="34" spans="1:43" s="1" customFormat="1">
      <c r="A34" s="329" t="s">
        <v>503</v>
      </c>
      <c r="B34" s="319" t="s">
        <v>58</v>
      </c>
      <c r="C34" s="323">
        <v>1298055.8</v>
      </c>
      <c r="D34" s="324">
        <v>384218</v>
      </c>
      <c r="E34" s="324">
        <v>974584</v>
      </c>
      <c r="F34" s="324">
        <v>1099749.8999999999</v>
      </c>
      <c r="G34" s="324">
        <v>506800</v>
      </c>
      <c r="H34" s="324">
        <v>295312</v>
      </c>
      <c r="I34" s="323">
        <v>4558719.6999999993</v>
      </c>
      <c r="J34" s="323">
        <v>105112</v>
      </c>
      <c r="K34" s="324">
        <v>497463</v>
      </c>
      <c r="L34" s="324">
        <v>794046.5</v>
      </c>
      <c r="M34" s="324">
        <v>177133</v>
      </c>
      <c r="N34" s="323">
        <v>1573754.5</v>
      </c>
      <c r="O34" s="323">
        <v>3163462.1</v>
      </c>
      <c r="P34" s="324">
        <v>95525</v>
      </c>
      <c r="Q34" s="324">
        <v>0</v>
      </c>
      <c r="R34" s="323">
        <v>3258987.1</v>
      </c>
      <c r="S34" s="323">
        <v>0</v>
      </c>
      <c r="T34" s="323">
        <v>0</v>
      </c>
      <c r="U34" s="323">
        <v>0</v>
      </c>
      <c r="V34" s="633">
        <v>0</v>
      </c>
      <c r="W34" s="323">
        <v>0</v>
      </c>
      <c r="X34" s="633">
        <v>0</v>
      </c>
      <c r="Y34" s="323">
        <v>0</v>
      </c>
      <c r="Z34" s="748">
        <v>0</v>
      </c>
      <c r="AA34" s="108"/>
      <c r="AB34" s="108"/>
      <c r="AC34" s="108"/>
      <c r="AD34" s="108"/>
      <c r="AE34" s="108"/>
      <c r="AF34" s="108"/>
      <c r="AG34" s="430"/>
      <c r="AH34" s="108"/>
      <c r="AI34" s="108"/>
      <c r="AJ34" s="108"/>
      <c r="AK34" s="108"/>
      <c r="AL34" s="108"/>
      <c r="AM34" s="108"/>
      <c r="AN34" s="108"/>
      <c r="AO34" s="108"/>
      <c r="AP34" s="108"/>
      <c r="AQ34" s="108"/>
    </row>
    <row r="35" spans="1:43">
      <c r="A35" s="322"/>
      <c r="B35" s="32" t="s">
        <v>62</v>
      </c>
      <c r="C35" s="321">
        <v>2134</v>
      </c>
      <c r="D35" s="2">
        <v>1173</v>
      </c>
      <c r="E35" s="2">
        <v>5084</v>
      </c>
      <c r="F35" s="2">
        <v>4153</v>
      </c>
      <c r="G35" s="2">
        <v>1652</v>
      </c>
      <c r="H35" s="2">
        <v>3393</v>
      </c>
      <c r="I35" s="321">
        <v>17589</v>
      </c>
      <c r="J35" s="321">
        <v>906</v>
      </c>
      <c r="K35" s="2">
        <v>9330</v>
      </c>
      <c r="L35" s="2">
        <v>11577</v>
      </c>
      <c r="M35" s="2">
        <v>1443</v>
      </c>
      <c r="N35" s="321">
        <v>23256</v>
      </c>
      <c r="O35" s="321">
        <v>100726.6</v>
      </c>
      <c r="P35" s="2">
        <v>6979</v>
      </c>
      <c r="Q35" s="2">
        <v>0</v>
      </c>
      <c r="R35" s="321">
        <v>107705.60000000001</v>
      </c>
      <c r="S35" s="321">
        <v>0</v>
      </c>
      <c r="T35" s="321">
        <v>0</v>
      </c>
      <c r="U35" s="321">
        <v>0</v>
      </c>
      <c r="V35" s="634">
        <v>0</v>
      </c>
      <c r="W35" s="321">
        <v>0</v>
      </c>
      <c r="X35" s="634">
        <v>0</v>
      </c>
      <c r="Y35" s="321">
        <v>0</v>
      </c>
      <c r="Z35" s="749">
        <v>0</v>
      </c>
      <c r="AA35" s="427"/>
      <c r="AB35" s="427"/>
      <c r="AC35" s="427"/>
      <c r="AD35" s="427"/>
      <c r="AE35" s="427"/>
      <c r="AF35" s="427"/>
      <c r="AG35" s="431"/>
      <c r="AH35" s="427"/>
      <c r="AI35" s="427"/>
      <c r="AJ35" s="427"/>
      <c r="AK35" s="427"/>
      <c r="AL35" s="427"/>
      <c r="AM35" s="427"/>
      <c r="AN35" s="427"/>
      <c r="AO35" s="427"/>
      <c r="AP35" s="427"/>
      <c r="AQ35" s="427"/>
    </row>
    <row r="36" spans="1:43" s="1" customFormat="1">
      <c r="A36" s="322"/>
      <c r="B36" s="369" t="s">
        <v>64</v>
      </c>
      <c r="C36" s="321">
        <v>1.6439971224657677E-3</v>
      </c>
      <c r="D36" s="2">
        <v>3.052954312395567E-3</v>
      </c>
      <c r="E36" s="2">
        <v>5.2165847171716344E-3</v>
      </c>
      <c r="F36" s="370">
        <v>3.7763131417425E-3</v>
      </c>
      <c r="G36" s="2">
        <v>3.2596685082872928E-3</v>
      </c>
      <c r="H36" s="2">
        <v>1.1489543262718751E-2</v>
      </c>
      <c r="I36" s="321">
        <v>3.8583201331724788E-3</v>
      </c>
      <c r="J36" s="321">
        <v>8.6193774259837128E-3</v>
      </c>
      <c r="K36" s="2">
        <v>1.8755163700616931E-2</v>
      </c>
      <c r="L36" s="2">
        <v>1.4579750682107408E-2</v>
      </c>
      <c r="M36" s="2">
        <v>8.1464210508487966E-3</v>
      </c>
      <c r="N36" s="321">
        <v>1.4777400159936E-2</v>
      </c>
      <c r="O36" s="321">
        <v>3.1840621703670802E-2</v>
      </c>
      <c r="P36" s="2">
        <v>7.3059408531797959E-2</v>
      </c>
      <c r="Q36" s="2">
        <v>0</v>
      </c>
      <c r="R36" s="321">
        <v>3.3048796050772954E-2</v>
      </c>
      <c r="S36" s="321">
        <v>0</v>
      </c>
      <c r="T36" s="321">
        <v>0</v>
      </c>
      <c r="U36" s="321">
        <v>0</v>
      </c>
      <c r="V36" s="634">
        <v>0</v>
      </c>
      <c r="W36" s="321">
        <v>0</v>
      </c>
      <c r="X36" s="634">
        <v>0</v>
      </c>
      <c r="Y36" s="321">
        <v>0</v>
      </c>
      <c r="Z36" s="749">
        <v>0</v>
      </c>
      <c r="AA36" s="426">
        <f t="shared" ref="AA36:AQ36" si="12">IF(D36&gt;0,D36,"—")</f>
        <v>3.052954312395567E-3</v>
      </c>
      <c r="AB36" s="426">
        <f t="shared" si="12"/>
        <v>5.2165847171716344E-3</v>
      </c>
      <c r="AC36" s="426">
        <f t="shared" si="12"/>
        <v>3.7763131417425E-3</v>
      </c>
      <c r="AD36" s="426">
        <f t="shared" si="12"/>
        <v>3.2596685082872928E-3</v>
      </c>
      <c r="AE36" s="426">
        <f t="shared" si="12"/>
        <v>1.1489543262718751E-2</v>
      </c>
      <c r="AF36" s="426">
        <f t="shared" si="12"/>
        <v>3.8583201331724788E-3</v>
      </c>
      <c r="AG36" s="429">
        <f t="shared" si="12"/>
        <v>8.6193774259837128E-3</v>
      </c>
      <c r="AH36" s="426">
        <f t="shared" si="12"/>
        <v>1.8755163700616931E-2</v>
      </c>
      <c r="AI36" s="426">
        <f t="shared" si="12"/>
        <v>1.4579750682107408E-2</v>
      </c>
      <c r="AJ36" s="426">
        <f t="shared" si="12"/>
        <v>8.1464210508487966E-3</v>
      </c>
      <c r="AK36" s="426">
        <f t="shared" si="12"/>
        <v>1.4777400159936E-2</v>
      </c>
      <c r="AL36" s="426">
        <f t="shared" si="12"/>
        <v>3.1840621703670802E-2</v>
      </c>
      <c r="AM36" s="426">
        <f t="shared" si="12"/>
        <v>7.3059408531797959E-2</v>
      </c>
      <c r="AN36" s="426" t="str">
        <f t="shared" si="12"/>
        <v>—</v>
      </c>
      <c r="AO36" s="426">
        <f t="shared" si="12"/>
        <v>3.3048796050772954E-2</v>
      </c>
      <c r="AP36" s="426" t="str">
        <f t="shared" si="12"/>
        <v>—</v>
      </c>
      <c r="AQ36" s="426" t="str">
        <f t="shared" si="12"/>
        <v>—</v>
      </c>
    </row>
    <row r="37" spans="1:43">
      <c r="A37" s="322"/>
      <c r="B37" s="32" t="s">
        <v>59</v>
      </c>
      <c r="C37" s="321">
        <v>1355777</v>
      </c>
      <c r="D37" s="2">
        <v>397963</v>
      </c>
      <c r="E37" s="2">
        <v>1012378</v>
      </c>
      <c r="F37" s="2">
        <v>1164974</v>
      </c>
      <c r="G37" s="2">
        <v>547968</v>
      </c>
      <c r="H37" s="2">
        <v>313675</v>
      </c>
      <c r="I37" s="321">
        <v>4792735</v>
      </c>
      <c r="J37" s="321">
        <v>125124</v>
      </c>
      <c r="K37" s="2">
        <v>558982</v>
      </c>
      <c r="L37" s="2">
        <v>886686</v>
      </c>
      <c r="M37" s="2">
        <v>207085</v>
      </c>
      <c r="N37" s="321">
        <v>1777877</v>
      </c>
      <c r="O37" s="321">
        <v>3802497.9</v>
      </c>
      <c r="P37" s="2">
        <v>120325.29999999999</v>
      </c>
      <c r="Q37" s="2">
        <v>0</v>
      </c>
      <c r="R37" s="321">
        <v>3922823.1999999997</v>
      </c>
      <c r="S37" s="321">
        <v>58167</v>
      </c>
      <c r="T37" s="321">
        <v>58167</v>
      </c>
      <c r="U37" s="321">
        <v>0</v>
      </c>
      <c r="V37" s="634">
        <v>0</v>
      </c>
      <c r="W37" s="321">
        <v>0</v>
      </c>
      <c r="X37" s="634">
        <v>0</v>
      </c>
      <c r="Y37" s="321">
        <v>0</v>
      </c>
      <c r="Z37" s="749">
        <v>0</v>
      </c>
      <c r="AA37" s="108"/>
      <c r="AB37" s="108"/>
      <c r="AC37" s="108"/>
      <c r="AD37" s="108"/>
      <c r="AE37" s="108"/>
      <c r="AF37" s="108"/>
      <c r="AG37" s="430"/>
      <c r="AH37" s="108"/>
      <c r="AI37" s="108"/>
      <c r="AJ37" s="108"/>
      <c r="AK37" s="108"/>
      <c r="AL37" s="108"/>
      <c r="AM37" s="108"/>
      <c r="AN37" s="108"/>
      <c r="AO37" s="108"/>
      <c r="AP37" s="108"/>
      <c r="AQ37" s="108"/>
    </row>
    <row r="38" spans="1:43" s="1" customFormat="1">
      <c r="A38" s="322"/>
      <c r="B38" s="32" t="s">
        <v>63</v>
      </c>
      <c r="C38" s="321">
        <v>2321.5</v>
      </c>
      <c r="D38" s="2">
        <v>1817</v>
      </c>
      <c r="E38" s="2">
        <v>4747</v>
      </c>
      <c r="F38" s="2">
        <v>4707</v>
      </c>
      <c r="G38" s="2">
        <v>2064</v>
      </c>
      <c r="H38" s="2">
        <v>3989</v>
      </c>
      <c r="I38" s="321">
        <v>19645.5</v>
      </c>
      <c r="J38" s="321">
        <v>1065</v>
      </c>
      <c r="K38" s="2">
        <v>9003</v>
      </c>
      <c r="L38" s="2">
        <v>10187.5</v>
      </c>
      <c r="M38" s="2">
        <v>1532</v>
      </c>
      <c r="N38" s="321">
        <v>21787.5</v>
      </c>
      <c r="O38" s="321">
        <v>85034.5</v>
      </c>
      <c r="P38" s="2">
        <v>8453.6</v>
      </c>
      <c r="Q38" s="2">
        <v>0</v>
      </c>
      <c r="R38" s="321">
        <v>93488.1</v>
      </c>
      <c r="S38" s="321">
        <v>458</v>
      </c>
      <c r="T38" s="321">
        <v>458</v>
      </c>
      <c r="U38" s="321">
        <v>0</v>
      </c>
      <c r="V38" s="634">
        <v>0</v>
      </c>
      <c r="W38" s="321">
        <v>0</v>
      </c>
      <c r="X38" s="634">
        <v>0</v>
      </c>
      <c r="Y38" s="321">
        <v>0</v>
      </c>
      <c r="Z38" s="749">
        <v>0</v>
      </c>
      <c r="AA38" s="427"/>
      <c r="AB38" s="427"/>
      <c r="AC38" s="427"/>
      <c r="AD38" s="427"/>
      <c r="AE38" s="427"/>
      <c r="AF38" s="427"/>
      <c r="AG38" s="431"/>
      <c r="AH38" s="427"/>
      <c r="AI38" s="427"/>
      <c r="AJ38" s="427"/>
      <c r="AK38" s="427"/>
      <c r="AL38" s="427"/>
      <c r="AM38" s="427"/>
      <c r="AN38" s="427"/>
      <c r="AO38" s="427"/>
      <c r="AP38" s="427"/>
      <c r="AQ38" s="427"/>
    </row>
    <row r="39" spans="1:43">
      <c r="A39" s="322"/>
      <c r="B39" s="369" t="s">
        <v>67</v>
      </c>
      <c r="C39" s="321">
        <v>1.7123022443956491E-3</v>
      </c>
      <c r="D39" s="2">
        <v>4.565751087412649E-3</v>
      </c>
      <c r="E39" s="2">
        <v>4.6889600524705199E-3</v>
      </c>
      <c r="F39" s="2">
        <v>4.0404335204047475E-3</v>
      </c>
      <c r="G39" s="2">
        <v>3.7666433076384022E-3</v>
      </c>
      <c r="H39" s="2">
        <v>1.2716984139634973E-2</v>
      </c>
      <c r="I39" s="321">
        <v>4.0990165323140128E-3</v>
      </c>
      <c r="J39" s="321">
        <v>8.5115565359163703E-3</v>
      </c>
      <c r="K39" s="2">
        <v>1.6106064238204449E-2</v>
      </c>
      <c r="L39" s="2">
        <v>1.1489411133140707E-2</v>
      </c>
      <c r="M39" s="2">
        <v>7.3979283868942708E-3</v>
      </c>
      <c r="N39" s="321">
        <v>1.2254784779824475E-2</v>
      </c>
      <c r="O39" s="321">
        <v>2.2362799989975011E-2</v>
      </c>
      <c r="P39" s="2">
        <v>7.0256213780476764E-2</v>
      </c>
      <c r="Q39" s="2">
        <v>0</v>
      </c>
      <c r="R39" s="321">
        <v>2.3831841312654624E-2</v>
      </c>
      <c r="S39" s="321">
        <v>7.8738803789090029E-3</v>
      </c>
      <c r="T39" s="321">
        <v>7.8738803789090029E-3</v>
      </c>
      <c r="U39" s="321">
        <v>0</v>
      </c>
      <c r="V39" s="634">
        <v>0</v>
      </c>
      <c r="W39" s="321">
        <v>0</v>
      </c>
      <c r="X39" s="634">
        <v>0</v>
      </c>
      <c r="Y39" s="321">
        <v>0</v>
      </c>
      <c r="Z39" s="749">
        <v>0</v>
      </c>
      <c r="AA39" s="426">
        <f t="shared" ref="AA39:AQ39" si="13">IF(D39&gt;0,D39,"—")</f>
        <v>4.565751087412649E-3</v>
      </c>
      <c r="AB39" s="426">
        <f t="shared" si="13"/>
        <v>4.6889600524705199E-3</v>
      </c>
      <c r="AC39" s="426">
        <f t="shared" si="13"/>
        <v>4.0404335204047475E-3</v>
      </c>
      <c r="AD39" s="426">
        <f t="shared" si="13"/>
        <v>3.7666433076384022E-3</v>
      </c>
      <c r="AE39" s="426">
        <f t="shared" si="13"/>
        <v>1.2716984139634973E-2</v>
      </c>
      <c r="AF39" s="426">
        <f t="shared" si="13"/>
        <v>4.0990165323140128E-3</v>
      </c>
      <c r="AG39" s="429">
        <f t="shared" si="13"/>
        <v>8.5115565359163703E-3</v>
      </c>
      <c r="AH39" s="426">
        <f t="shared" si="13"/>
        <v>1.6106064238204449E-2</v>
      </c>
      <c r="AI39" s="426">
        <f t="shared" si="13"/>
        <v>1.1489411133140707E-2</v>
      </c>
      <c r="AJ39" s="426">
        <f t="shared" si="13"/>
        <v>7.3979283868942708E-3</v>
      </c>
      <c r="AK39" s="426">
        <f t="shared" si="13"/>
        <v>1.2254784779824475E-2</v>
      </c>
      <c r="AL39" s="426">
        <f t="shared" si="13"/>
        <v>2.2362799989975011E-2</v>
      </c>
      <c r="AM39" s="426">
        <f t="shared" si="13"/>
        <v>7.0256213780476764E-2</v>
      </c>
      <c r="AN39" s="426" t="str">
        <f t="shared" si="13"/>
        <v>—</v>
      </c>
      <c r="AO39" s="426">
        <f t="shared" si="13"/>
        <v>2.3831841312654624E-2</v>
      </c>
      <c r="AP39" s="426">
        <f t="shared" si="13"/>
        <v>7.8738803789090029E-3</v>
      </c>
      <c r="AQ39" s="426">
        <f t="shared" si="13"/>
        <v>7.8738803789090029E-3</v>
      </c>
    </row>
    <row r="40" spans="1:43" s="1" customFormat="1">
      <c r="A40" s="322"/>
      <c r="B40" s="32" t="s">
        <v>836</v>
      </c>
      <c r="C40" s="757">
        <v>6.8305121929881397E-5</v>
      </c>
      <c r="D40" s="2">
        <v>1.512796775017082E-3</v>
      </c>
      <c r="E40" s="2">
        <v>-5.2762466470111444E-4</v>
      </c>
      <c r="F40" s="2">
        <v>2.6412037866224746E-4</v>
      </c>
      <c r="G40" s="2">
        <v>5.0697479935110949E-4</v>
      </c>
      <c r="H40" s="2">
        <v>1.2274408769162217E-3</v>
      </c>
      <c r="I40" s="321">
        <v>2.4069639914153394E-4</v>
      </c>
      <c r="J40" s="321">
        <v>-1.0782089006734254E-4</v>
      </c>
      <c r="K40" s="2">
        <v>-2.6490994624124818E-3</v>
      </c>
      <c r="L40" s="2">
        <v>-3.0903395489667012E-3</v>
      </c>
      <c r="M40" s="2">
        <v>-7.4849266395452582E-4</v>
      </c>
      <c r="N40" s="321">
        <v>-2.5226153801115245E-3</v>
      </c>
      <c r="O40" s="321">
        <v>-9.4778217136957908E-3</v>
      </c>
      <c r="P40" s="2">
        <v>-2.8031947513211947E-3</v>
      </c>
      <c r="Q40" s="2">
        <v>0</v>
      </c>
      <c r="R40" s="321">
        <v>-9.2169547381183298E-3</v>
      </c>
      <c r="S40" s="321">
        <v>7.8738803789090029E-3</v>
      </c>
      <c r="T40" s="321">
        <v>7.8738803789090029E-3</v>
      </c>
      <c r="U40" s="321">
        <v>0</v>
      </c>
      <c r="V40" s="634">
        <v>0</v>
      </c>
      <c r="W40" s="321">
        <v>0</v>
      </c>
      <c r="X40" s="634">
        <v>0</v>
      </c>
      <c r="Y40" s="321">
        <v>0</v>
      </c>
      <c r="Z40" s="749">
        <v>0</v>
      </c>
      <c r="AA40" s="640">
        <f t="shared" ref="AA40:AQ40" si="14">IF(OR((AA36="—"),(AA39="—")),"—",(AA39-AA36))</f>
        <v>1.512796775017082E-3</v>
      </c>
      <c r="AB40" s="640">
        <f t="shared" si="14"/>
        <v>-5.2762466470111444E-4</v>
      </c>
      <c r="AC40" s="640">
        <f t="shared" si="14"/>
        <v>2.6412037866224746E-4</v>
      </c>
      <c r="AD40" s="640">
        <f t="shared" si="14"/>
        <v>5.0697479935110949E-4</v>
      </c>
      <c r="AE40" s="640">
        <f t="shared" si="14"/>
        <v>1.2274408769162217E-3</v>
      </c>
      <c r="AF40" s="640">
        <f t="shared" si="14"/>
        <v>2.4069639914153394E-4</v>
      </c>
      <c r="AG40" s="641">
        <f t="shared" si="14"/>
        <v>-1.0782089006734254E-4</v>
      </c>
      <c r="AH40" s="640">
        <f t="shared" si="14"/>
        <v>-2.6490994624124818E-3</v>
      </c>
      <c r="AI40" s="640">
        <f t="shared" si="14"/>
        <v>-3.0903395489667012E-3</v>
      </c>
      <c r="AJ40" s="640">
        <f t="shared" si="14"/>
        <v>-7.4849266395452582E-4</v>
      </c>
      <c r="AK40" s="640">
        <f t="shared" si="14"/>
        <v>-2.5226153801115245E-3</v>
      </c>
      <c r="AL40" s="640">
        <f t="shared" si="14"/>
        <v>-9.4778217136957908E-3</v>
      </c>
      <c r="AM40" s="640">
        <f t="shared" si="14"/>
        <v>-2.8031947513211947E-3</v>
      </c>
      <c r="AN40" s="640" t="str">
        <f t="shared" si="14"/>
        <v>—</v>
      </c>
      <c r="AO40" s="640">
        <f t="shared" si="14"/>
        <v>-9.2169547381183298E-3</v>
      </c>
      <c r="AP40" s="640" t="str">
        <f t="shared" si="14"/>
        <v>—</v>
      </c>
      <c r="AQ40" s="640" t="str">
        <f t="shared" si="14"/>
        <v>—</v>
      </c>
    </row>
    <row r="41" spans="1:43">
      <c r="A41" s="329" t="s">
        <v>148</v>
      </c>
      <c r="B41" s="319" t="s">
        <v>58</v>
      </c>
      <c r="C41" s="323">
        <v>902564</v>
      </c>
      <c r="D41" s="324">
        <v>0</v>
      </c>
      <c r="E41" s="324">
        <v>1026266</v>
      </c>
      <c r="F41" s="324">
        <v>511452</v>
      </c>
      <c r="G41" s="324">
        <v>62328</v>
      </c>
      <c r="H41" s="324">
        <v>0</v>
      </c>
      <c r="I41" s="323">
        <v>2502610</v>
      </c>
      <c r="J41" s="323">
        <v>0</v>
      </c>
      <c r="K41" s="324">
        <v>474853</v>
      </c>
      <c r="L41" s="324">
        <v>721681</v>
      </c>
      <c r="M41" s="324">
        <v>148800</v>
      </c>
      <c r="N41" s="323">
        <v>1345334</v>
      </c>
      <c r="O41" s="323">
        <v>87866</v>
      </c>
      <c r="P41" s="324">
        <v>0</v>
      </c>
      <c r="Q41" s="324">
        <v>0</v>
      </c>
      <c r="R41" s="323">
        <v>87866</v>
      </c>
      <c r="S41" s="323">
        <v>0</v>
      </c>
      <c r="T41" s="323">
        <v>0</v>
      </c>
      <c r="U41" s="323">
        <v>0</v>
      </c>
      <c r="V41" s="633">
        <v>0</v>
      </c>
      <c r="W41" s="323">
        <v>0</v>
      </c>
      <c r="X41" s="633">
        <v>0</v>
      </c>
      <c r="Y41" s="323">
        <v>0</v>
      </c>
      <c r="Z41" s="748">
        <v>0</v>
      </c>
      <c r="AA41" s="427"/>
      <c r="AB41" s="427"/>
      <c r="AC41" s="427"/>
      <c r="AD41" s="427"/>
      <c r="AE41" s="427"/>
      <c r="AF41" s="427"/>
      <c r="AG41" s="431"/>
      <c r="AH41" s="427"/>
      <c r="AI41" s="427"/>
      <c r="AJ41" s="427"/>
      <c r="AK41" s="427"/>
      <c r="AL41" s="427"/>
      <c r="AM41" s="427"/>
      <c r="AN41" s="427"/>
      <c r="AO41" s="427"/>
      <c r="AP41" s="427"/>
      <c r="AQ41" s="427"/>
    </row>
    <row r="42" spans="1:43" s="1" customFormat="1">
      <c r="A42" s="322"/>
      <c r="B42" s="32" t="s">
        <v>62</v>
      </c>
      <c r="C42" s="321">
        <v>1090</v>
      </c>
      <c r="D42" s="2">
        <v>0</v>
      </c>
      <c r="E42" s="2">
        <v>14627</v>
      </c>
      <c r="F42" s="2">
        <v>5780</v>
      </c>
      <c r="G42" s="2">
        <v>100</v>
      </c>
      <c r="H42" s="2">
        <v>0</v>
      </c>
      <c r="I42" s="321">
        <v>21597</v>
      </c>
      <c r="J42" s="321">
        <v>0</v>
      </c>
      <c r="K42" s="2">
        <v>17998</v>
      </c>
      <c r="L42" s="2">
        <v>59384</v>
      </c>
      <c r="M42" s="2">
        <v>6912</v>
      </c>
      <c r="N42" s="321">
        <v>84294</v>
      </c>
      <c r="O42" s="321">
        <v>8179</v>
      </c>
      <c r="P42" s="2">
        <v>0</v>
      </c>
      <c r="Q42" s="2">
        <v>0</v>
      </c>
      <c r="R42" s="321">
        <v>8179</v>
      </c>
      <c r="S42" s="321">
        <v>0</v>
      </c>
      <c r="T42" s="321">
        <v>0</v>
      </c>
      <c r="U42" s="321">
        <v>0</v>
      </c>
      <c r="V42" s="634">
        <v>0</v>
      </c>
      <c r="W42" s="321">
        <v>0</v>
      </c>
      <c r="X42" s="634">
        <v>0</v>
      </c>
      <c r="Y42" s="321">
        <v>0</v>
      </c>
      <c r="Z42" s="749">
        <v>0</v>
      </c>
      <c r="AA42" s="108"/>
      <c r="AB42" s="108"/>
      <c r="AC42" s="108"/>
      <c r="AD42" s="108"/>
      <c r="AE42" s="108"/>
      <c r="AF42" s="108"/>
      <c r="AG42" s="430"/>
      <c r="AH42" s="108"/>
      <c r="AI42" s="108"/>
      <c r="AJ42" s="108"/>
      <c r="AK42" s="108"/>
      <c r="AL42" s="108"/>
      <c r="AM42" s="108"/>
      <c r="AN42" s="108"/>
      <c r="AO42" s="108"/>
      <c r="AP42" s="108"/>
      <c r="AQ42" s="108"/>
    </row>
    <row r="43" spans="1:43">
      <c r="A43" s="322"/>
      <c r="B43" s="369" t="s">
        <v>64</v>
      </c>
      <c r="C43" s="321">
        <v>1.2076705917807491E-3</v>
      </c>
      <c r="D43" s="2">
        <v>0</v>
      </c>
      <c r="E43" s="2">
        <v>1.4252640153722329E-2</v>
      </c>
      <c r="F43" s="370">
        <v>1.1301158270961889E-2</v>
      </c>
      <c r="G43" s="2">
        <v>1.6044153510460788E-3</v>
      </c>
      <c r="H43" s="2">
        <v>0</v>
      </c>
      <c r="I43" s="321">
        <v>8.6297904987193367E-3</v>
      </c>
      <c r="J43" s="321">
        <v>0</v>
      </c>
      <c r="K43" s="2">
        <v>3.79022560666143E-2</v>
      </c>
      <c r="L43" s="2">
        <v>8.2285663610376328E-2</v>
      </c>
      <c r="M43" s="2">
        <v>4.645161290322581E-2</v>
      </c>
      <c r="N43" s="321">
        <v>6.2656559635005132E-2</v>
      </c>
      <c r="O43" s="321">
        <v>9.3084924771811628E-2</v>
      </c>
      <c r="P43" s="2">
        <v>0</v>
      </c>
      <c r="Q43" s="2">
        <v>0</v>
      </c>
      <c r="R43" s="321">
        <v>9.3084924771811628E-2</v>
      </c>
      <c r="S43" s="321">
        <v>0</v>
      </c>
      <c r="T43" s="321">
        <v>0</v>
      </c>
      <c r="U43" s="321">
        <v>0</v>
      </c>
      <c r="V43" s="634">
        <v>0</v>
      </c>
      <c r="W43" s="321">
        <v>0</v>
      </c>
      <c r="X43" s="634">
        <v>0</v>
      </c>
      <c r="Y43" s="321">
        <v>0</v>
      </c>
      <c r="Z43" s="749">
        <v>0</v>
      </c>
      <c r="AA43" s="426" t="str">
        <f t="shared" ref="AA43:AQ43" si="15">IF(D43&gt;0,D43,"—")</f>
        <v>—</v>
      </c>
      <c r="AB43" s="426">
        <f t="shared" si="15"/>
        <v>1.4252640153722329E-2</v>
      </c>
      <c r="AC43" s="426">
        <f t="shared" si="15"/>
        <v>1.1301158270961889E-2</v>
      </c>
      <c r="AD43" s="426">
        <f t="shared" si="15"/>
        <v>1.6044153510460788E-3</v>
      </c>
      <c r="AE43" s="426" t="str">
        <f t="shared" si="15"/>
        <v>—</v>
      </c>
      <c r="AF43" s="426">
        <f t="shared" si="15"/>
        <v>8.6297904987193367E-3</v>
      </c>
      <c r="AG43" s="429" t="str">
        <f t="shared" si="15"/>
        <v>—</v>
      </c>
      <c r="AH43" s="426">
        <f t="shared" si="15"/>
        <v>3.79022560666143E-2</v>
      </c>
      <c r="AI43" s="426">
        <f t="shared" si="15"/>
        <v>8.2285663610376328E-2</v>
      </c>
      <c r="AJ43" s="426">
        <f t="shared" si="15"/>
        <v>4.645161290322581E-2</v>
      </c>
      <c r="AK43" s="426">
        <f t="shared" si="15"/>
        <v>6.2656559635005132E-2</v>
      </c>
      <c r="AL43" s="426">
        <f t="shared" si="15"/>
        <v>9.3084924771811628E-2</v>
      </c>
      <c r="AM43" s="426" t="str">
        <f t="shared" si="15"/>
        <v>—</v>
      </c>
      <c r="AN43" s="426" t="str">
        <f t="shared" si="15"/>
        <v>—</v>
      </c>
      <c r="AO43" s="426">
        <f t="shared" si="15"/>
        <v>9.3084924771811628E-2</v>
      </c>
      <c r="AP43" s="426" t="str">
        <f t="shared" si="15"/>
        <v>—</v>
      </c>
      <c r="AQ43" s="426" t="str">
        <f t="shared" si="15"/>
        <v>—</v>
      </c>
    </row>
    <row r="44" spans="1:43" s="1" customFormat="1">
      <c r="A44" s="322"/>
      <c r="B44" s="32" t="s">
        <v>59</v>
      </c>
      <c r="C44" s="321">
        <v>911153</v>
      </c>
      <c r="D44" s="2">
        <v>0</v>
      </c>
      <c r="E44" s="2">
        <v>1047573</v>
      </c>
      <c r="F44" s="2">
        <v>515776</v>
      </c>
      <c r="G44" s="2">
        <v>63180</v>
      </c>
      <c r="H44" s="2">
        <v>0</v>
      </c>
      <c r="I44" s="321">
        <v>2537682</v>
      </c>
      <c r="J44" s="321">
        <v>0</v>
      </c>
      <c r="K44" s="2">
        <v>508905</v>
      </c>
      <c r="L44" s="2">
        <v>815408</v>
      </c>
      <c r="M44" s="2">
        <v>167690</v>
      </c>
      <c r="N44" s="321">
        <v>1492003</v>
      </c>
      <c r="O44" s="321">
        <v>110495</v>
      </c>
      <c r="P44" s="2">
        <v>0</v>
      </c>
      <c r="Q44" s="2">
        <v>0</v>
      </c>
      <c r="R44" s="321">
        <v>110495</v>
      </c>
      <c r="S44" s="321">
        <v>0</v>
      </c>
      <c r="T44" s="321">
        <v>0</v>
      </c>
      <c r="U44" s="321">
        <v>0</v>
      </c>
      <c r="V44" s="634">
        <v>0</v>
      </c>
      <c r="W44" s="321">
        <v>0</v>
      </c>
      <c r="X44" s="634">
        <v>0</v>
      </c>
      <c r="Y44" s="321">
        <v>0</v>
      </c>
      <c r="Z44" s="749">
        <v>0</v>
      </c>
      <c r="AA44" s="108"/>
      <c r="AB44" s="108"/>
      <c r="AC44" s="108"/>
      <c r="AD44" s="108"/>
      <c r="AE44" s="108"/>
      <c r="AF44" s="108"/>
      <c r="AG44" s="430"/>
      <c r="AH44" s="108"/>
      <c r="AI44" s="108"/>
      <c r="AJ44" s="108"/>
      <c r="AK44" s="108"/>
      <c r="AL44" s="108"/>
      <c r="AM44" s="108"/>
      <c r="AN44" s="108"/>
      <c r="AO44" s="108"/>
      <c r="AP44" s="108"/>
      <c r="AQ44" s="108"/>
    </row>
    <row r="45" spans="1:43">
      <c r="A45" s="322"/>
      <c r="B45" s="32" t="s">
        <v>63</v>
      </c>
      <c r="C45" s="321">
        <v>1343</v>
      </c>
      <c r="D45" s="2">
        <v>0</v>
      </c>
      <c r="E45" s="2">
        <v>14726</v>
      </c>
      <c r="F45" s="2">
        <v>5954</v>
      </c>
      <c r="G45" s="2">
        <v>332</v>
      </c>
      <c r="H45" s="2">
        <v>0</v>
      </c>
      <c r="I45" s="321">
        <v>22355</v>
      </c>
      <c r="J45" s="321">
        <v>0</v>
      </c>
      <c r="K45" s="2">
        <v>17242</v>
      </c>
      <c r="L45" s="2">
        <v>61111</v>
      </c>
      <c r="M45" s="2">
        <v>7634</v>
      </c>
      <c r="N45" s="321">
        <v>85987</v>
      </c>
      <c r="O45" s="321">
        <v>8201</v>
      </c>
      <c r="P45" s="2">
        <v>0</v>
      </c>
      <c r="Q45" s="2">
        <v>0</v>
      </c>
      <c r="R45" s="321">
        <v>8201</v>
      </c>
      <c r="S45" s="321">
        <v>0</v>
      </c>
      <c r="T45" s="321">
        <v>0</v>
      </c>
      <c r="U45" s="321">
        <v>0</v>
      </c>
      <c r="V45" s="634">
        <v>0</v>
      </c>
      <c r="W45" s="321">
        <v>0</v>
      </c>
      <c r="X45" s="634">
        <v>0</v>
      </c>
      <c r="Y45" s="321">
        <v>0</v>
      </c>
      <c r="Z45" s="749">
        <v>0</v>
      </c>
      <c r="AA45" s="427"/>
      <c r="AB45" s="427"/>
      <c r="AC45" s="427"/>
      <c r="AD45" s="427"/>
      <c r="AE45" s="427"/>
      <c r="AF45" s="427"/>
      <c r="AG45" s="431"/>
      <c r="AH45" s="427"/>
      <c r="AI45" s="427"/>
      <c r="AJ45" s="427"/>
      <c r="AK45" s="427"/>
      <c r="AL45" s="427"/>
      <c r="AM45" s="427"/>
      <c r="AN45" s="427"/>
      <c r="AO45" s="427"/>
      <c r="AP45" s="427"/>
      <c r="AQ45" s="427"/>
    </row>
    <row r="46" spans="1:43" s="1" customFormat="1">
      <c r="A46" s="322"/>
      <c r="B46" s="369" t="s">
        <v>67</v>
      </c>
      <c r="C46" s="321">
        <v>1.4739566241893513E-3</v>
      </c>
      <c r="D46" s="2">
        <v>0</v>
      </c>
      <c r="E46" s="2">
        <v>1.4057254243856992E-2</v>
      </c>
      <c r="F46" s="2">
        <v>1.1543770939322497E-2</v>
      </c>
      <c r="G46" s="2">
        <v>5.2548274770496993E-3</v>
      </c>
      <c r="H46" s="2">
        <v>0</v>
      </c>
      <c r="I46" s="321">
        <v>8.8092203830109524E-3</v>
      </c>
      <c r="J46" s="321">
        <v>0</v>
      </c>
      <c r="K46" s="2">
        <v>3.3880586749982809E-2</v>
      </c>
      <c r="L46" s="2">
        <v>7.4945303455448073E-2</v>
      </c>
      <c r="M46" s="2">
        <v>4.5524479694674699E-2</v>
      </c>
      <c r="N46" s="321">
        <v>5.763192165163207E-2</v>
      </c>
      <c r="O46" s="321">
        <v>7.4220552966197562E-2</v>
      </c>
      <c r="P46" s="2">
        <v>0</v>
      </c>
      <c r="Q46" s="2">
        <v>0</v>
      </c>
      <c r="R46" s="321">
        <v>7.4220552966197562E-2</v>
      </c>
      <c r="S46" s="321">
        <v>0</v>
      </c>
      <c r="T46" s="321">
        <v>0</v>
      </c>
      <c r="U46" s="321">
        <v>0</v>
      </c>
      <c r="V46" s="634">
        <v>0</v>
      </c>
      <c r="W46" s="321">
        <v>0</v>
      </c>
      <c r="X46" s="634">
        <v>0</v>
      </c>
      <c r="Y46" s="321">
        <v>0</v>
      </c>
      <c r="Z46" s="749">
        <v>0</v>
      </c>
      <c r="AA46" s="426" t="str">
        <f t="shared" ref="AA46:AQ46" si="16">IF(D46&gt;0,D46,"—")</f>
        <v>—</v>
      </c>
      <c r="AB46" s="426">
        <f t="shared" si="16"/>
        <v>1.4057254243856992E-2</v>
      </c>
      <c r="AC46" s="426">
        <f t="shared" si="16"/>
        <v>1.1543770939322497E-2</v>
      </c>
      <c r="AD46" s="426">
        <f t="shared" si="16"/>
        <v>5.2548274770496993E-3</v>
      </c>
      <c r="AE46" s="426" t="str">
        <f t="shared" si="16"/>
        <v>—</v>
      </c>
      <c r="AF46" s="426">
        <f t="shared" si="16"/>
        <v>8.8092203830109524E-3</v>
      </c>
      <c r="AG46" s="429" t="str">
        <f t="shared" si="16"/>
        <v>—</v>
      </c>
      <c r="AH46" s="426">
        <f t="shared" si="16"/>
        <v>3.3880586749982809E-2</v>
      </c>
      <c r="AI46" s="426">
        <f t="shared" si="16"/>
        <v>7.4945303455448073E-2</v>
      </c>
      <c r="AJ46" s="426">
        <f t="shared" si="16"/>
        <v>4.5524479694674699E-2</v>
      </c>
      <c r="AK46" s="426">
        <f t="shared" si="16"/>
        <v>5.763192165163207E-2</v>
      </c>
      <c r="AL46" s="426">
        <f t="shared" si="16"/>
        <v>7.4220552966197562E-2</v>
      </c>
      <c r="AM46" s="426" t="str">
        <f t="shared" si="16"/>
        <v>—</v>
      </c>
      <c r="AN46" s="426" t="str">
        <f t="shared" si="16"/>
        <v>—</v>
      </c>
      <c r="AO46" s="426">
        <f t="shared" si="16"/>
        <v>7.4220552966197562E-2</v>
      </c>
      <c r="AP46" s="426" t="str">
        <f t="shared" si="16"/>
        <v>—</v>
      </c>
      <c r="AQ46" s="426" t="str">
        <f t="shared" si="16"/>
        <v>—</v>
      </c>
    </row>
    <row r="47" spans="1:43">
      <c r="A47" s="322"/>
      <c r="B47" s="32" t="s">
        <v>836</v>
      </c>
      <c r="C47" s="757">
        <v>2.6628603240860219E-4</v>
      </c>
      <c r="D47" s="2">
        <v>0</v>
      </c>
      <c r="E47" s="2">
        <v>-1.953859098653369E-4</v>
      </c>
      <c r="F47" s="2">
        <v>2.4261266836060787E-4</v>
      </c>
      <c r="G47" s="2">
        <v>3.6504121260036203E-3</v>
      </c>
      <c r="H47" s="2">
        <v>0</v>
      </c>
      <c r="I47" s="321">
        <v>1.7942988429161567E-4</v>
      </c>
      <c r="J47" s="321">
        <v>0</v>
      </c>
      <c r="K47" s="2">
        <v>-4.0216693166314904E-3</v>
      </c>
      <c r="L47" s="2">
        <v>-7.3403601549282549E-3</v>
      </c>
      <c r="M47" s="2">
        <v>-9.2713320855111053E-4</v>
      </c>
      <c r="N47" s="321">
        <v>-5.024637983373062E-3</v>
      </c>
      <c r="O47" s="781">
        <v>-1.8864371805614066E-2</v>
      </c>
      <c r="P47" s="2">
        <v>0</v>
      </c>
      <c r="Q47" s="2">
        <v>0</v>
      </c>
      <c r="R47" s="321">
        <v>-1.8864371805614066E-2</v>
      </c>
      <c r="S47" s="321">
        <v>0</v>
      </c>
      <c r="T47" s="321">
        <v>0</v>
      </c>
      <c r="U47" s="321">
        <v>0</v>
      </c>
      <c r="V47" s="634">
        <v>0</v>
      </c>
      <c r="W47" s="321">
        <v>0</v>
      </c>
      <c r="X47" s="634">
        <v>0</v>
      </c>
      <c r="Y47" s="321">
        <v>0</v>
      </c>
      <c r="Z47" s="749">
        <v>0</v>
      </c>
      <c r="AA47" s="640" t="str">
        <f t="shared" ref="AA47:AQ47" si="17">IF(OR((AA43="—"),(AA46="—")),"—",(AA46-AA43))</f>
        <v>—</v>
      </c>
      <c r="AB47" s="640">
        <f t="shared" si="17"/>
        <v>-1.953859098653369E-4</v>
      </c>
      <c r="AC47" s="640">
        <f t="shared" si="17"/>
        <v>2.4261266836060787E-4</v>
      </c>
      <c r="AD47" s="640">
        <f t="shared" si="17"/>
        <v>3.6504121260036203E-3</v>
      </c>
      <c r="AE47" s="640" t="str">
        <f t="shared" si="17"/>
        <v>—</v>
      </c>
      <c r="AF47" s="640">
        <f t="shared" si="17"/>
        <v>1.7942988429161567E-4</v>
      </c>
      <c r="AG47" s="641" t="str">
        <f t="shared" si="17"/>
        <v>—</v>
      </c>
      <c r="AH47" s="640">
        <f t="shared" si="17"/>
        <v>-4.0216693166314904E-3</v>
      </c>
      <c r="AI47" s="640">
        <f t="shared" si="17"/>
        <v>-7.3403601549282549E-3</v>
      </c>
      <c r="AJ47" s="640">
        <f t="shared" si="17"/>
        <v>-9.2713320855111053E-4</v>
      </c>
      <c r="AK47" s="640">
        <f t="shared" si="17"/>
        <v>-5.024637983373062E-3</v>
      </c>
      <c r="AL47" s="640">
        <f t="shared" si="17"/>
        <v>-1.8864371805614066E-2</v>
      </c>
      <c r="AM47" s="640" t="str">
        <f t="shared" si="17"/>
        <v>—</v>
      </c>
      <c r="AN47" s="640" t="str">
        <f t="shared" si="17"/>
        <v>—</v>
      </c>
      <c r="AO47" s="640">
        <f t="shared" si="17"/>
        <v>-1.8864371805614066E-2</v>
      </c>
      <c r="AP47" s="640" t="str">
        <f t="shared" si="17"/>
        <v>—</v>
      </c>
      <c r="AQ47" s="640" t="str">
        <f t="shared" si="17"/>
        <v>—</v>
      </c>
    </row>
    <row r="48" spans="1:43" s="1" customFormat="1">
      <c r="A48" s="329" t="s">
        <v>795</v>
      </c>
      <c r="B48" s="319" t="s">
        <v>58</v>
      </c>
      <c r="C48" s="323">
        <v>717006</v>
      </c>
      <c r="D48" s="324">
        <v>858001</v>
      </c>
      <c r="E48" s="324">
        <v>773033</v>
      </c>
      <c r="F48" s="324">
        <v>886726</v>
      </c>
      <c r="G48" s="324">
        <v>0</v>
      </c>
      <c r="H48" s="324">
        <v>0</v>
      </c>
      <c r="I48" s="323">
        <v>3234766</v>
      </c>
      <c r="J48" s="323">
        <v>58126</v>
      </c>
      <c r="K48" s="324">
        <v>290744</v>
      </c>
      <c r="L48" s="324">
        <v>318390</v>
      </c>
      <c r="M48" s="324">
        <v>200412</v>
      </c>
      <c r="N48" s="323">
        <v>867672</v>
      </c>
      <c r="O48" s="323">
        <v>43753</v>
      </c>
      <c r="P48" s="324">
        <v>27636.5</v>
      </c>
      <c r="Q48" s="324">
        <v>422560.5</v>
      </c>
      <c r="R48" s="323">
        <v>493950</v>
      </c>
      <c r="S48" s="323">
        <v>0</v>
      </c>
      <c r="T48" s="323">
        <v>0</v>
      </c>
      <c r="U48" s="323">
        <v>0</v>
      </c>
      <c r="V48" s="633">
        <v>0</v>
      </c>
      <c r="W48" s="323">
        <v>0</v>
      </c>
      <c r="X48" s="633">
        <v>0</v>
      </c>
      <c r="Y48" s="323">
        <v>0</v>
      </c>
      <c r="Z48" s="748">
        <v>0</v>
      </c>
      <c r="AA48" s="108"/>
      <c r="AB48" s="108"/>
      <c r="AC48" s="108"/>
      <c r="AD48" s="108"/>
      <c r="AE48" s="108"/>
      <c r="AF48" s="108"/>
      <c r="AG48" s="430"/>
      <c r="AH48" s="108"/>
      <c r="AI48" s="108"/>
      <c r="AJ48" s="108"/>
      <c r="AK48" s="108"/>
      <c r="AL48" s="108"/>
      <c r="AM48" s="108"/>
      <c r="AN48" s="108"/>
      <c r="AO48" s="108"/>
      <c r="AP48" s="108"/>
      <c r="AQ48" s="108"/>
    </row>
    <row r="49" spans="1:43">
      <c r="A49" s="322"/>
      <c r="B49" s="32" t="s">
        <v>62</v>
      </c>
      <c r="C49" s="321">
        <v>204</v>
      </c>
      <c r="D49" s="26">
        <v>4530</v>
      </c>
      <c r="E49" s="26">
        <v>9787</v>
      </c>
      <c r="F49" s="26">
        <v>10969</v>
      </c>
      <c r="G49" s="26">
        <v>0</v>
      </c>
      <c r="H49" s="26">
        <v>0</v>
      </c>
      <c r="I49" s="321">
        <v>25490</v>
      </c>
      <c r="J49" s="321">
        <v>4198</v>
      </c>
      <c r="K49" s="26">
        <v>1386</v>
      </c>
      <c r="L49" s="26">
        <v>7747</v>
      </c>
      <c r="M49" s="26">
        <v>14000</v>
      </c>
      <c r="N49" s="321">
        <v>27331</v>
      </c>
      <c r="O49" s="321">
        <v>931</v>
      </c>
      <c r="P49" s="26">
        <v>977</v>
      </c>
      <c r="Q49" s="26">
        <v>48788</v>
      </c>
      <c r="R49" s="321">
        <v>50696</v>
      </c>
      <c r="S49" s="321">
        <v>0</v>
      </c>
      <c r="T49" s="321">
        <v>0</v>
      </c>
      <c r="U49" s="321">
        <v>0</v>
      </c>
      <c r="V49" s="634">
        <v>0</v>
      </c>
      <c r="W49" s="321">
        <v>0</v>
      </c>
      <c r="X49" s="634">
        <v>0</v>
      </c>
      <c r="Y49" s="321">
        <v>0</v>
      </c>
      <c r="Z49" s="749">
        <v>0</v>
      </c>
      <c r="AA49" s="427"/>
      <c r="AB49" s="427"/>
      <c r="AC49" s="427"/>
      <c r="AD49" s="427"/>
      <c r="AE49" s="427"/>
      <c r="AF49" s="427"/>
      <c r="AG49" s="431"/>
      <c r="AH49" s="427"/>
      <c r="AI49" s="427"/>
      <c r="AJ49" s="427"/>
      <c r="AK49" s="427"/>
      <c r="AL49" s="427"/>
      <c r="AM49" s="427"/>
      <c r="AN49" s="427"/>
      <c r="AO49" s="427"/>
      <c r="AP49" s="427"/>
      <c r="AQ49" s="427"/>
    </row>
    <row r="50" spans="1:43" s="1" customFormat="1">
      <c r="A50" s="322"/>
      <c r="B50" s="369" t="s">
        <v>64</v>
      </c>
      <c r="C50" s="321">
        <v>2.8451644756110825E-4</v>
      </c>
      <c r="D50" s="2">
        <v>5.2797141262073124E-3</v>
      </c>
      <c r="E50" s="2">
        <v>1.266052031413924E-2</v>
      </c>
      <c r="F50" s="370">
        <v>1.2370224849615327E-2</v>
      </c>
      <c r="G50" s="2">
        <v>0</v>
      </c>
      <c r="H50" s="2">
        <v>0</v>
      </c>
      <c r="I50" s="321">
        <v>7.8800135774890669E-3</v>
      </c>
      <c r="J50" s="321">
        <v>7.222241337783436E-2</v>
      </c>
      <c r="K50" s="2">
        <v>4.7670803180805106E-3</v>
      </c>
      <c r="L50" s="2">
        <v>2.4331794340274507E-2</v>
      </c>
      <c r="M50" s="2">
        <v>6.9856096441330853E-2</v>
      </c>
      <c r="N50" s="321">
        <v>3.1499230123825592E-2</v>
      </c>
      <c r="O50" s="321">
        <v>2.1278540900052569E-2</v>
      </c>
      <c r="P50" s="2">
        <v>3.5351799250990537E-2</v>
      </c>
      <c r="Q50" s="2">
        <v>0.11545802317064657</v>
      </c>
      <c r="R50" s="321">
        <v>0.10263386982488105</v>
      </c>
      <c r="S50" s="321">
        <v>0</v>
      </c>
      <c r="T50" s="321">
        <v>0</v>
      </c>
      <c r="U50" s="321">
        <v>0</v>
      </c>
      <c r="V50" s="634">
        <v>0</v>
      </c>
      <c r="W50" s="321">
        <v>0</v>
      </c>
      <c r="X50" s="634">
        <v>0</v>
      </c>
      <c r="Y50" s="321">
        <v>0</v>
      </c>
      <c r="Z50" s="749">
        <v>0</v>
      </c>
      <c r="AA50" s="426">
        <f t="shared" ref="AA50:AQ50" si="18">IF(D50&gt;0,D50,"—")</f>
        <v>5.2797141262073124E-3</v>
      </c>
      <c r="AB50" s="426">
        <f t="shared" si="18"/>
        <v>1.266052031413924E-2</v>
      </c>
      <c r="AC50" s="426">
        <f t="shared" si="18"/>
        <v>1.2370224849615327E-2</v>
      </c>
      <c r="AD50" s="426" t="str">
        <f t="shared" si="18"/>
        <v>—</v>
      </c>
      <c r="AE50" s="426" t="str">
        <f t="shared" si="18"/>
        <v>—</v>
      </c>
      <c r="AF50" s="426">
        <f t="shared" si="18"/>
        <v>7.8800135774890669E-3</v>
      </c>
      <c r="AG50" s="429">
        <f t="shared" si="18"/>
        <v>7.222241337783436E-2</v>
      </c>
      <c r="AH50" s="426">
        <f t="shared" si="18"/>
        <v>4.7670803180805106E-3</v>
      </c>
      <c r="AI50" s="426">
        <f t="shared" si="18"/>
        <v>2.4331794340274507E-2</v>
      </c>
      <c r="AJ50" s="426">
        <f t="shared" si="18"/>
        <v>6.9856096441330853E-2</v>
      </c>
      <c r="AK50" s="426">
        <f t="shared" si="18"/>
        <v>3.1499230123825592E-2</v>
      </c>
      <c r="AL50" s="426">
        <f t="shared" si="18"/>
        <v>2.1278540900052569E-2</v>
      </c>
      <c r="AM50" s="426">
        <f t="shared" si="18"/>
        <v>3.5351799250990537E-2</v>
      </c>
      <c r="AN50" s="426">
        <f t="shared" si="18"/>
        <v>0.11545802317064657</v>
      </c>
      <c r="AO50" s="426">
        <f t="shared" si="18"/>
        <v>0.10263386982488105</v>
      </c>
      <c r="AP50" s="426" t="str">
        <f t="shared" si="18"/>
        <v>—</v>
      </c>
      <c r="AQ50" s="426" t="str">
        <f t="shared" si="18"/>
        <v>—</v>
      </c>
    </row>
    <row r="51" spans="1:43">
      <c r="A51" s="322"/>
      <c r="B51" s="32" t="s">
        <v>59</v>
      </c>
      <c r="C51" s="321">
        <v>713040</v>
      </c>
      <c r="D51" s="2">
        <v>853789</v>
      </c>
      <c r="E51" s="2">
        <v>783899</v>
      </c>
      <c r="F51" s="2">
        <v>902116</v>
      </c>
      <c r="G51" s="2">
        <v>0</v>
      </c>
      <c r="H51" s="2">
        <v>0</v>
      </c>
      <c r="I51" s="321">
        <v>3252844</v>
      </c>
      <c r="J51" s="321">
        <v>56724</v>
      </c>
      <c r="K51" s="2">
        <v>335731</v>
      </c>
      <c r="L51" s="2">
        <v>339337</v>
      </c>
      <c r="M51" s="2">
        <v>232808.6</v>
      </c>
      <c r="N51" s="321">
        <v>964600.6</v>
      </c>
      <c r="O51" s="321">
        <v>52778</v>
      </c>
      <c r="P51" s="2">
        <v>32336</v>
      </c>
      <c r="Q51" s="2">
        <v>498668.5</v>
      </c>
      <c r="R51" s="321">
        <v>583782.5</v>
      </c>
      <c r="S51" s="321">
        <v>0</v>
      </c>
      <c r="T51" s="321">
        <v>0</v>
      </c>
      <c r="U51" s="321">
        <v>0</v>
      </c>
      <c r="V51" s="634">
        <v>0</v>
      </c>
      <c r="W51" s="321">
        <v>0</v>
      </c>
      <c r="X51" s="634">
        <v>0</v>
      </c>
      <c r="Y51" s="321">
        <v>0</v>
      </c>
      <c r="Z51" s="749">
        <v>0</v>
      </c>
      <c r="AA51" s="108"/>
      <c r="AB51" s="108"/>
      <c r="AC51" s="108"/>
      <c r="AD51" s="108"/>
      <c r="AE51" s="108"/>
      <c r="AF51" s="108"/>
      <c r="AG51" s="430"/>
      <c r="AH51" s="108"/>
      <c r="AI51" s="108"/>
      <c r="AJ51" s="108"/>
      <c r="AK51" s="108"/>
      <c r="AL51" s="108"/>
      <c r="AM51" s="108"/>
      <c r="AN51" s="108"/>
      <c r="AO51" s="108"/>
      <c r="AP51" s="108"/>
      <c r="AQ51" s="108"/>
    </row>
    <row r="52" spans="1:43" s="1" customFormat="1">
      <c r="A52" s="322"/>
      <c r="B52" s="32" t="s">
        <v>63</v>
      </c>
      <c r="C52" s="321">
        <v>192</v>
      </c>
      <c r="D52" s="2">
        <v>6538</v>
      </c>
      <c r="E52" s="2">
        <v>9947</v>
      </c>
      <c r="F52" s="2">
        <v>16065</v>
      </c>
      <c r="G52" s="2">
        <v>0</v>
      </c>
      <c r="H52" s="2">
        <v>0</v>
      </c>
      <c r="I52" s="321">
        <v>32742</v>
      </c>
      <c r="J52" s="321">
        <v>3309</v>
      </c>
      <c r="K52" s="2">
        <v>1353</v>
      </c>
      <c r="L52" s="2">
        <v>9269</v>
      </c>
      <c r="M52" s="2">
        <v>14497</v>
      </c>
      <c r="N52" s="321">
        <v>28428</v>
      </c>
      <c r="O52" s="321">
        <v>861</v>
      </c>
      <c r="P52" s="2">
        <v>923</v>
      </c>
      <c r="Q52" s="2">
        <v>76133</v>
      </c>
      <c r="R52" s="321">
        <v>77917</v>
      </c>
      <c r="S52" s="321">
        <v>0</v>
      </c>
      <c r="T52" s="321">
        <v>0</v>
      </c>
      <c r="U52" s="321">
        <v>0</v>
      </c>
      <c r="V52" s="634">
        <v>0</v>
      </c>
      <c r="W52" s="321">
        <v>0</v>
      </c>
      <c r="X52" s="634">
        <v>0</v>
      </c>
      <c r="Y52" s="321">
        <v>0</v>
      </c>
      <c r="Z52" s="749">
        <v>0</v>
      </c>
      <c r="AA52" s="427"/>
      <c r="AB52" s="427"/>
      <c r="AC52" s="427"/>
      <c r="AD52" s="427"/>
      <c r="AE52" s="427"/>
      <c r="AF52" s="427"/>
      <c r="AG52" s="431"/>
      <c r="AH52" s="427"/>
      <c r="AI52" s="427"/>
      <c r="AJ52" s="427"/>
      <c r="AK52" s="427"/>
      <c r="AL52" s="427"/>
      <c r="AM52" s="427"/>
      <c r="AN52" s="427"/>
      <c r="AO52" s="427"/>
      <c r="AP52" s="427"/>
      <c r="AQ52" s="427"/>
    </row>
    <row r="53" spans="1:43">
      <c r="A53" s="322"/>
      <c r="B53" s="369" t="s">
        <v>67</v>
      </c>
      <c r="C53" s="321">
        <v>2.6926960619320093E-4</v>
      </c>
      <c r="D53" s="2">
        <v>7.6576296953931242E-3</v>
      </c>
      <c r="E53" s="2">
        <v>1.2689134697199511E-2</v>
      </c>
      <c r="F53" s="2">
        <v>1.7808131105090698E-2</v>
      </c>
      <c r="G53" s="2">
        <v>0</v>
      </c>
      <c r="H53" s="2">
        <v>0</v>
      </c>
      <c r="I53" s="321">
        <v>1.0065653317527677E-2</v>
      </c>
      <c r="J53" s="321">
        <v>5.8335096255553207E-2</v>
      </c>
      <c r="K53" s="2">
        <v>4.0300121228006944E-3</v>
      </c>
      <c r="L53" s="2">
        <v>2.7315029012456644E-2</v>
      </c>
      <c r="M53" s="2">
        <v>6.2270036416180501E-2</v>
      </c>
      <c r="N53" s="321">
        <v>2.9471265101846299E-2</v>
      </c>
      <c r="O53" s="321">
        <v>1.6313615521618856E-2</v>
      </c>
      <c r="P53" s="2">
        <v>2.8544037605145966E-2</v>
      </c>
      <c r="Q53" s="2">
        <v>0.15267256704604362</v>
      </c>
      <c r="R53" s="321">
        <v>0.13346922869390571</v>
      </c>
      <c r="S53" s="321">
        <v>0</v>
      </c>
      <c r="T53" s="321">
        <v>0</v>
      </c>
      <c r="U53" s="321">
        <v>0</v>
      </c>
      <c r="V53" s="634">
        <v>0</v>
      </c>
      <c r="W53" s="321">
        <v>0</v>
      </c>
      <c r="X53" s="634">
        <v>0</v>
      </c>
      <c r="Y53" s="321">
        <v>0</v>
      </c>
      <c r="Z53" s="749">
        <v>0</v>
      </c>
      <c r="AA53" s="426">
        <f t="shared" ref="AA53:AQ53" si="19">IF(D53&gt;0,D53,"—")</f>
        <v>7.6576296953931242E-3</v>
      </c>
      <c r="AB53" s="426">
        <f t="shared" si="19"/>
        <v>1.2689134697199511E-2</v>
      </c>
      <c r="AC53" s="426">
        <f t="shared" si="19"/>
        <v>1.7808131105090698E-2</v>
      </c>
      <c r="AD53" s="426" t="str">
        <f t="shared" si="19"/>
        <v>—</v>
      </c>
      <c r="AE53" s="426" t="str">
        <f t="shared" si="19"/>
        <v>—</v>
      </c>
      <c r="AF53" s="426">
        <f t="shared" si="19"/>
        <v>1.0065653317527677E-2</v>
      </c>
      <c r="AG53" s="429">
        <f t="shared" si="19"/>
        <v>5.8335096255553207E-2</v>
      </c>
      <c r="AH53" s="426">
        <f t="shared" si="19"/>
        <v>4.0300121228006944E-3</v>
      </c>
      <c r="AI53" s="426">
        <f t="shared" si="19"/>
        <v>2.7315029012456644E-2</v>
      </c>
      <c r="AJ53" s="426">
        <f t="shared" si="19"/>
        <v>6.2270036416180501E-2</v>
      </c>
      <c r="AK53" s="426">
        <f t="shared" si="19"/>
        <v>2.9471265101846299E-2</v>
      </c>
      <c r="AL53" s="426">
        <f t="shared" si="19"/>
        <v>1.6313615521618856E-2</v>
      </c>
      <c r="AM53" s="426">
        <f t="shared" si="19"/>
        <v>2.8544037605145966E-2</v>
      </c>
      <c r="AN53" s="426">
        <f t="shared" si="19"/>
        <v>0.15267256704604362</v>
      </c>
      <c r="AO53" s="426">
        <f t="shared" si="19"/>
        <v>0.13346922869390571</v>
      </c>
      <c r="AP53" s="426" t="str">
        <f t="shared" si="19"/>
        <v>—</v>
      </c>
      <c r="AQ53" s="426" t="str">
        <f t="shared" si="19"/>
        <v>—</v>
      </c>
    </row>
    <row r="54" spans="1:43" s="1" customFormat="1">
      <c r="A54" s="322"/>
      <c r="B54" s="32" t="s">
        <v>836</v>
      </c>
      <c r="C54" s="757">
        <v>-1.5246841367907321E-5</v>
      </c>
      <c r="D54" s="2">
        <v>2.3779155691858117E-3</v>
      </c>
      <c r="E54" s="2">
        <v>2.8614383060270726E-5</v>
      </c>
      <c r="F54" s="2">
        <v>5.4379062554753711E-3</v>
      </c>
      <c r="G54" s="2">
        <v>0</v>
      </c>
      <c r="H54" s="2">
        <v>0</v>
      </c>
      <c r="I54" s="321">
        <v>2.1856397400386099E-3</v>
      </c>
      <c r="J54" s="780">
        <v>-1.3887317122281154E-2</v>
      </c>
      <c r="K54" s="2">
        <v>-7.370681952798162E-4</v>
      </c>
      <c r="L54" s="2">
        <v>2.9832346721821376E-3</v>
      </c>
      <c r="M54" s="2">
        <v>-7.5860600251503527E-3</v>
      </c>
      <c r="N54" s="321">
        <v>-2.027965021979293E-3</v>
      </c>
      <c r="O54" s="321">
        <v>-4.9649253784337134E-3</v>
      </c>
      <c r="P54" s="2">
        <v>-6.8077616458445712E-3</v>
      </c>
      <c r="Q54" s="782">
        <v>3.7214543875397049E-2</v>
      </c>
      <c r="R54" s="321">
        <v>3.0835358869024651E-2</v>
      </c>
      <c r="S54" s="321">
        <v>0</v>
      </c>
      <c r="T54" s="321">
        <v>0</v>
      </c>
      <c r="U54" s="321">
        <v>0</v>
      </c>
      <c r="V54" s="634">
        <v>0</v>
      </c>
      <c r="W54" s="321">
        <v>0</v>
      </c>
      <c r="X54" s="634">
        <v>0</v>
      </c>
      <c r="Y54" s="321">
        <v>0</v>
      </c>
      <c r="Z54" s="749">
        <v>0</v>
      </c>
      <c r="AA54" s="640">
        <f t="shared" ref="AA54:AQ54" si="20">IF(OR((AA50="—"),(AA53="—")),"—",(AA53-AA50))</f>
        <v>2.3779155691858117E-3</v>
      </c>
      <c r="AB54" s="640">
        <f t="shared" si="20"/>
        <v>2.8614383060270726E-5</v>
      </c>
      <c r="AC54" s="640">
        <f t="shared" si="20"/>
        <v>5.4379062554753711E-3</v>
      </c>
      <c r="AD54" s="640" t="str">
        <f t="shared" si="20"/>
        <v>—</v>
      </c>
      <c r="AE54" s="640" t="str">
        <f t="shared" si="20"/>
        <v>—</v>
      </c>
      <c r="AF54" s="640">
        <f t="shared" si="20"/>
        <v>2.1856397400386099E-3</v>
      </c>
      <c r="AG54" s="641">
        <f t="shared" si="20"/>
        <v>-1.3887317122281154E-2</v>
      </c>
      <c r="AH54" s="640">
        <f t="shared" si="20"/>
        <v>-7.370681952798162E-4</v>
      </c>
      <c r="AI54" s="640">
        <f t="shared" si="20"/>
        <v>2.9832346721821376E-3</v>
      </c>
      <c r="AJ54" s="640">
        <f t="shared" si="20"/>
        <v>-7.5860600251503527E-3</v>
      </c>
      <c r="AK54" s="640">
        <f t="shared" si="20"/>
        <v>-2.027965021979293E-3</v>
      </c>
      <c r="AL54" s="640">
        <f t="shared" si="20"/>
        <v>-4.9649253784337134E-3</v>
      </c>
      <c r="AM54" s="640">
        <f t="shared" si="20"/>
        <v>-6.8077616458445712E-3</v>
      </c>
      <c r="AN54" s="640">
        <f t="shared" si="20"/>
        <v>3.7214543875397049E-2</v>
      </c>
      <c r="AO54" s="640">
        <f t="shared" si="20"/>
        <v>3.0835358869024651E-2</v>
      </c>
      <c r="AP54" s="640" t="str">
        <f t="shared" si="20"/>
        <v>—</v>
      </c>
      <c r="AQ54" s="640" t="str">
        <f t="shared" si="20"/>
        <v>—</v>
      </c>
    </row>
    <row r="55" spans="1:43">
      <c r="A55" s="329" t="s">
        <v>173</v>
      </c>
      <c r="B55" s="319" t="s">
        <v>58</v>
      </c>
      <c r="C55" s="323">
        <v>0</v>
      </c>
      <c r="D55" s="324">
        <v>0</v>
      </c>
      <c r="E55" s="324">
        <v>0</v>
      </c>
      <c r="F55" s="324">
        <v>0</v>
      </c>
      <c r="G55" s="324">
        <v>0</v>
      </c>
      <c r="H55" s="324">
        <v>0</v>
      </c>
      <c r="I55" s="323">
        <v>0</v>
      </c>
      <c r="J55" s="323">
        <v>0</v>
      </c>
      <c r="K55" s="324">
        <v>0</v>
      </c>
      <c r="L55" s="324">
        <v>0</v>
      </c>
      <c r="M55" s="324">
        <v>0</v>
      </c>
      <c r="N55" s="323">
        <v>0</v>
      </c>
      <c r="O55" s="323">
        <v>0</v>
      </c>
      <c r="P55" s="324">
        <v>0</v>
      </c>
      <c r="Q55" s="324">
        <v>0</v>
      </c>
      <c r="R55" s="323">
        <v>0</v>
      </c>
      <c r="S55" s="323">
        <v>0</v>
      </c>
      <c r="T55" s="323">
        <v>0</v>
      </c>
      <c r="U55" s="323">
        <v>0</v>
      </c>
      <c r="V55" s="633">
        <v>0</v>
      </c>
      <c r="W55" s="323">
        <v>0</v>
      </c>
      <c r="X55" s="633">
        <v>0</v>
      </c>
      <c r="Y55" s="323">
        <v>0</v>
      </c>
      <c r="Z55" s="748">
        <v>0</v>
      </c>
      <c r="AA55" s="427"/>
      <c r="AB55" s="427"/>
      <c r="AC55" s="427"/>
      <c r="AD55" s="427"/>
      <c r="AE55" s="427"/>
      <c r="AF55" s="427"/>
      <c r="AG55" s="431"/>
      <c r="AH55" s="427"/>
      <c r="AI55" s="427"/>
      <c r="AJ55" s="427"/>
      <c r="AK55" s="427"/>
      <c r="AL55" s="427"/>
      <c r="AM55" s="427"/>
      <c r="AN55" s="427"/>
      <c r="AO55" s="427"/>
      <c r="AP55" s="427"/>
      <c r="AQ55" s="427"/>
    </row>
    <row r="56" spans="1:43" s="1" customFormat="1">
      <c r="A56" s="322"/>
      <c r="B56" s="32" t="s">
        <v>62</v>
      </c>
      <c r="C56" s="321">
        <v>0</v>
      </c>
      <c r="D56" s="2">
        <v>0</v>
      </c>
      <c r="E56" s="2">
        <v>0</v>
      </c>
      <c r="F56" s="2">
        <v>0</v>
      </c>
      <c r="G56" s="2">
        <v>0</v>
      </c>
      <c r="H56" s="2">
        <v>0</v>
      </c>
      <c r="I56" s="321">
        <v>0</v>
      </c>
      <c r="J56" s="321">
        <v>0</v>
      </c>
      <c r="K56" s="2">
        <v>0</v>
      </c>
      <c r="L56" s="2">
        <v>0</v>
      </c>
      <c r="M56" s="2">
        <v>0</v>
      </c>
      <c r="N56" s="321">
        <v>0</v>
      </c>
      <c r="O56" s="321">
        <v>0</v>
      </c>
      <c r="P56" s="2">
        <v>0</v>
      </c>
      <c r="Q56" s="2">
        <v>0</v>
      </c>
      <c r="R56" s="321">
        <v>0</v>
      </c>
      <c r="S56" s="321">
        <v>0</v>
      </c>
      <c r="T56" s="321">
        <v>0</v>
      </c>
      <c r="U56" s="321">
        <v>0</v>
      </c>
      <c r="V56" s="634">
        <v>0</v>
      </c>
      <c r="W56" s="321">
        <v>0</v>
      </c>
      <c r="X56" s="634">
        <v>0</v>
      </c>
      <c r="Y56" s="321">
        <v>0</v>
      </c>
      <c r="Z56" s="749">
        <v>0</v>
      </c>
      <c r="AA56" s="108"/>
      <c r="AB56" s="108"/>
      <c r="AC56" s="108"/>
      <c r="AD56" s="108"/>
      <c r="AE56" s="108"/>
      <c r="AF56" s="108"/>
      <c r="AG56" s="430"/>
      <c r="AH56" s="108"/>
      <c r="AI56" s="108"/>
      <c r="AJ56" s="108"/>
      <c r="AK56" s="108"/>
      <c r="AL56" s="108"/>
      <c r="AM56" s="108"/>
      <c r="AN56" s="108"/>
      <c r="AO56" s="108"/>
      <c r="AP56" s="108"/>
      <c r="AQ56" s="108"/>
    </row>
    <row r="57" spans="1:43">
      <c r="A57" s="322"/>
      <c r="B57" s="369" t="s">
        <v>64</v>
      </c>
      <c r="C57" s="321">
        <v>0</v>
      </c>
      <c r="D57" s="2">
        <v>0</v>
      </c>
      <c r="E57" s="2">
        <v>0</v>
      </c>
      <c r="F57" s="370">
        <v>0</v>
      </c>
      <c r="G57" s="2">
        <v>0</v>
      </c>
      <c r="H57" s="2">
        <v>0</v>
      </c>
      <c r="I57" s="321">
        <v>0</v>
      </c>
      <c r="J57" s="321">
        <v>0</v>
      </c>
      <c r="K57" s="2">
        <v>0</v>
      </c>
      <c r="L57" s="2">
        <v>0</v>
      </c>
      <c r="M57" s="2">
        <v>0</v>
      </c>
      <c r="N57" s="321">
        <v>0</v>
      </c>
      <c r="O57" s="321">
        <v>0</v>
      </c>
      <c r="P57" s="2">
        <v>0</v>
      </c>
      <c r="Q57" s="2">
        <v>0</v>
      </c>
      <c r="R57" s="321">
        <v>0</v>
      </c>
      <c r="S57" s="321">
        <v>0</v>
      </c>
      <c r="T57" s="321">
        <v>0</v>
      </c>
      <c r="U57" s="321">
        <v>0</v>
      </c>
      <c r="V57" s="634">
        <v>0</v>
      </c>
      <c r="W57" s="321">
        <v>0</v>
      </c>
      <c r="X57" s="634">
        <v>0</v>
      </c>
      <c r="Y57" s="321">
        <v>0</v>
      </c>
      <c r="Z57" s="749">
        <v>0</v>
      </c>
      <c r="AA57" s="426" t="str">
        <f t="shared" ref="AA57:AQ57" si="21">IF(D57&gt;0,D57,"—")</f>
        <v>—</v>
      </c>
      <c r="AB57" s="426" t="str">
        <f t="shared" si="21"/>
        <v>—</v>
      </c>
      <c r="AC57" s="426" t="str">
        <f t="shared" si="21"/>
        <v>—</v>
      </c>
      <c r="AD57" s="426" t="str">
        <f t="shared" si="21"/>
        <v>—</v>
      </c>
      <c r="AE57" s="426" t="str">
        <f t="shared" si="21"/>
        <v>—</v>
      </c>
      <c r="AF57" s="426" t="str">
        <f t="shared" si="21"/>
        <v>—</v>
      </c>
      <c r="AG57" s="429" t="str">
        <f t="shared" si="21"/>
        <v>—</v>
      </c>
      <c r="AH57" s="426" t="str">
        <f t="shared" si="21"/>
        <v>—</v>
      </c>
      <c r="AI57" s="426" t="str">
        <f t="shared" si="21"/>
        <v>—</v>
      </c>
      <c r="AJ57" s="426" t="str">
        <f t="shared" si="21"/>
        <v>—</v>
      </c>
      <c r="AK57" s="426" t="str">
        <f t="shared" si="21"/>
        <v>—</v>
      </c>
      <c r="AL57" s="426" t="str">
        <f t="shared" si="21"/>
        <v>—</v>
      </c>
      <c r="AM57" s="426" t="str">
        <f t="shared" si="21"/>
        <v>—</v>
      </c>
      <c r="AN57" s="426" t="str">
        <f t="shared" si="21"/>
        <v>—</v>
      </c>
      <c r="AO57" s="426" t="str">
        <f t="shared" si="21"/>
        <v>—</v>
      </c>
      <c r="AP57" s="426" t="str">
        <f t="shared" si="21"/>
        <v>—</v>
      </c>
      <c r="AQ57" s="426" t="str">
        <f t="shared" si="21"/>
        <v>—</v>
      </c>
    </row>
    <row r="58" spans="1:43" s="1" customFormat="1">
      <c r="A58" s="322"/>
      <c r="B58" s="32" t="s">
        <v>59</v>
      </c>
      <c r="C58" s="321">
        <v>0</v>
      </c>
      <c r="D58" s="2">
        <v>0</v>
      </c>
      <c r="E58" s="2">
        <v>0</v>
      </c>
      <c r="F58" s="2">
        <v>0</v>
      </c>
      <c r="G58" s="2">
        <v>0</v>
      </c>
      <c r="H58" s="2">
        <v>0</v>
      </c>
      <c r="I58" s="321">
        <v>0</v>
      </c>
      <c r="J58" s="321">
        <v>0</v>
      </c>
      <c r="K58" s="2">
        <v>0</v>
      </c>
      <c r="L58" s="2">
        <v>0</v>
      </c>
      <c r="M58" s="2">
        <v>0</v>
      </c>
      <c r="N58" s="321">
        <v>0</v>
      </c>
      <c r="O58" s="321">
        <v>0</v>
      </c>
      <c r="P58" s="2">
        <v>0</v>
      </c>
      <c r="Q58" s="2">
        <v>0</v>
      </c>
      <c r="R58" s="321">
        <v>0</v>
      </c>
      <c r="S58" s="321">
        <v>0</v>
      </c>
      <c r="T58" s="321">
        <v>0</v>
      </c>
      <c r="U58" s="321">
        <v>0</v>
      </c>
      <c r="V58" s="634">
        <v>0</v>
      </c>
      <c r="W58" s="321">
        <v>0</v>
      </c>
      <c r="X58" s="634">
        <v>0</v>
      </c>
      <c r="Y58" s="321">
        <v>0</v>
      </c>
      <c r="Z58" s="749">
        <v>0</v>
      </c>
      <c r="AA58" s="108"/>
      <c r="AB58" s="108"/>
      <c r="AC58" s="108"/>
      <c r="AD58" s="108"/>
      <c r="AE58" s="108"/>
      <c r="AF58" s="108"/>
      <c r="AG58" s="430"/>
      <c r="AH58" s="108"/>
      <c r="AI58" s="108"/>
      <c r="AJ58" s="108"/>
      <c r="AK58" s="108"/>
      <c r="AL58" s="108"/>
      <c r="AM58" s="108"/>
      <c r="AN58" s="108"/>
      <c r="AO58" s="108"/>
      <c r="AP58" s="108"/>
      <c r="AQ58" s="108"/>
    </row>
    <row r="59" spans="1:43">
      <c r="A59" s="322"/>
      <c r="B59" s="32" t="s">
        <v>63</v>
      </c>
      <c r="C59" s="321">
        <v>0</v>
      </c>
      <c r="D59" s="2">
        <v>0</v>
      </c>
      <c r="E59" s="2">
        <v>0</v>
      </c>
      <c r="F59" s="2">
        <v>0</v>
      </c>
      <c r="G59" s="2">
        <v>0</v>
      </c>
      <c r="H59" s="2">
        <v>0</v>
      </c>
      <c r="I59" s="321">
        <v>0</v>
      </c>
      <c r="J59" s="321">
        <v>0</v>
      </c>
      <c r="K59" s="2">
        <v>0</v>
      </c>
      <c r="L59" s="2">
        <v>0</v>
      </c>
      <c r="M59" s="2">
        <v>0</v>
      </c>
      <c r="N59" s="321">
        <v>0</v>
      </c>
      <c r="O59" s="321">
        <v>0</v>
      </c>
      <c r="P59" s="2">
        <v>0</v>
      </c>
      <c r="Q59" s="2">
        <v>0</v>
      </c>
      <c r="R59" s="321">
        <v>0</v>
      </c>
      <c r="S59" s="321">
        <v>0</v>
      </c>
      <c r="T59" s="321">
        <v>0</v>
      </c>
      <c r="U59" s="321">
        <v>0</v>
      </c>
      <c r="V59" s="634">
        <v>0</v>
      </c>
      <c r="W59" s="321">
        <v>0</v>
      </c>
      <c r="X59" s="634">
        <v>0</v>
      </c>
      <c r="Y59" s="321">
        <v>0</v>
      </c>
      <c r="Z59" s="749">
        <v>0</v>
      </c>
      <c r="AA59" s="427"/>
      <c r="AB59" s="427"/>
      <c r="AC59" s="427"/>
      <c r="AD59" s="427"/>
      <c r="AE59" s="427"/>
      <c r="AF59" s="427"/>
      <c r="AG59" s="431"/>
      <c r="AH59" s="427"/>
      <c r="AI59" s="427"/>
      <c r="AJ59" s="427"/>
      <c r="AK59" s="427"/>
      <c r="AL59" s="427"/>
      <c r="AM59" s="427"/>
      <c r="AN59" s="427"/>
      <c r="AO59" s="427"/>
      <c r="AP59" s="427"/>
      <c r="AQ59" s="427"/>
    </row>
    <row r="60" spans="1:43" s="1" customFormat="1">
      <c r="A60" s="322"/>
      <c r="B60" s="369" t="s">
        <v>67</v>
      </c>
      <c r="C60" s="321">
        <v>0</v>
      </c>
      <c r="D60" s="2">
        <v>0</v>
      </c>
      <c r="E60" s="2">
        <v>0</v>
      </c>
      <c r="F60" s="2">
        <v>0</v>
      </c>
      <c r="G60" s="2">
        <v>0</v>
      </c>
      <c r="H60" s="2">
        <v>0</v>
      </c>
      <c r="I60" s="321">
        <v>0</v>
      </c>
      <c r="J60" s="321">
        <v>0</v>
      </c>
      <c r="K60" s="2">
        <v>0</v>
      </c>
      <c r="L60" s="2">
        <v>0</v>
      </c>
      <c r="M60" s="2">
        <v>0</v>
      </c>
      <c r="N60" s="321">
        <v>0</v>
      </c>
      <c r="O60" s="321">
        <v>0</v>
      </c>
      <c r="P60" s="2">
        <v>0</v>
      </c>
      <c r="Q60" s="2">
        <v>0</v>
      </c>
      <c r="R60" s="321">
        <v>0</v>
      </c>
      <c r="S60" s="321">
        <v>0</v>
      </c>
      <c r="T60" s="321">
        <v>0</v>
      </c>
      <c r="U60" s="321">
        <v>0</v>
      </c>
      <c r="V60" s="634">
        <v>0</v>
      </c>
      <c r="W60" s="321">
        <v>0</v>
      </c>
      <c r="X60" s="634">
        <v>0</v>
      </c>
      <c r="Y60" s="321">
        <v>0</v>
      </c>
      <c r="Z60" s="749">
        <v>0</v>
      </c>
      <c r="AA60" s="426" t="str">
        <f t="shared" ref="AA60:AQ60" si="22">IF(D60&gt;0,D60,"—")</f>
        <v>—</v>
      </c>
      <c r="AB60" s="426" t="str">
        <f t="shared" si="22"/>
        <v>—</v>
      </c>
      <c r="AC60" s="426" t="str">
        <f t="shared" si="22"/>
        <v>—</v>
      </c>
      <c r="AD60" s="426" t="str">
        <f t="shared" si="22"/>
        <v>—</v>
      </c>
      <c r="AE60" s="426" t="str">
        <f t="shared" si="22"/>
        <v>—</v>
      </c>
      <c r="AF60" s="426" t="str">
        <f t="shared" si="22"/>
        <v>—</v>
      </c>
      <c r="AG60" s="429" t="str">
        <f t="shared" si="22"/>
        <v>—</v>
      </c>
      <c r="AH60" s="426" t="str">
        <f t="shared" si="22"/>
        <v>—</v>
      </c>
      <c r="AI60" s="426" t="str">
        <f t="shared" si="22"/>
        <v>—</v>
      </c>
      <c r="AJ60" s="426" t="str">
        <f t="shared" si="22"/>
        <v>—</v>
      </c>
      <c r="AK60" s="426" t="str">
        <f t="shared" si="22"/>
        <v>—</v>
      </c>
      <c r="AL60" s="426" t="str">
        <f t="shared" si="22"/>
        <v>—</v>
      </c>
      <c r="AM60" s="426" t="str">
        <f t="shared" si="22"/>
        <v>—</v>
      </c>
      <c r="AN60" s="426" t="str">
        <f t="shared" si="22"/>
        <v>—</v>
      </c>
      <c r="AO60" s="426" t="str">
        <f t="shared" si="22"/>
        <v>—</v>
      </c>
      <c r="AP60" s="426" t="str">
        <f t="shared" si="22"/>
        <v>—</v>
      </c>
      <c r="AQ60" s="426" t="str">
        <f t="shared" si="22"/>
        <v>—</v>
      </c>
    </row>
    <row r="61" spans="1:43">
      <c r="A61" s="322"/>
      <c r="B61" s="32" t="s">
        <v>836</v>
      </c>
      <c r="C61" s="757">
        <v>0</v>
      </c>
      <c r="D61" s="2">
        <v>0</v>
      </c>
      <c r="E61" s="2">
        <v>0</v>
      </c>
      <c r="F61" s="2">
        <v>0</v>
      </c>
      <c r="G61" s="2">
        <v>0</v>
      </c>
      <c r="H61" s="2">
        <v>0</v>
      </c>
      <c r="I61" s="321">
        <v>0</v>
      </c>
      <c r="J61" s="321">
        <v>0</v>
      </c>
      <c r="K61" s="2">
        <v>0</v>
      </c>
      <c r="L61" s="2">
        <v>0</v>
      </c>
      <c r="M61" s="2">
        <v>0</v>
      </c>
      <c r="N61" s="321">
        <v>0</v>
      </c>
      <c r="O61" s="321">
        <v>0</v>
      </c>
      <c r="P61" s="2">
        <v>0</v>
      </c>
      <c r="Q61" s="2">
        <v>0</v>
      </c>
      <c r="R61" s="321">
        <v>0</v>
      </c>
      <c r="S61" s="321">
        <v>0</v>
      </c>
      <c r="T61" s="321">
        <v>0</v>
      </c>
      <c r="U61" s="321">
        <v>0</v>
      </c>
      <c r="V61" s="634">
        <v>0</v>
      </c>
      <c r="W61" s="321">
        <v>0</v>
      </c>
      <c r="X61" s="634">
        <v>0</v>
      </c>
      <c r="Y61" s="321">
        <v>0</v>
      </c>
      <c r="Z61" s="749">
        <v>0</v>
      </c>
      <c r="AA61" s="640" t="str">
        <f t="shared" ref="AA61:AQ61" si="23">IF(OR((AA57="—"),(AA60="—")),"—",(AA60-AA57))</f>
        <v>—</v>
      </c>
      <c r="AB61" s="640" t="str">
        <f t="shared" si="23"/>
        <v>—</v>
      </c>
      <c r="AC61" s="640" t="str">
        <f t="shared" si="23"/>
        <v>—</v>
      </c>
      <c r="AD61" s="640" t="str">
        <f t="shared" si="23"/>
        <v>—</v>
      </c>
      <c r="AE61" s="640" t="str">
        <f t="shared" si="23"/>
        <v>—</v>
      </c>
      <c r="AF61" s="640" t="str">
        <f t="shared" si="23"/>
        <v>—</v>
      </c>
      <c r="AG61" s="641" t="str">
        <f t="shared" si="23"/>
        <v>—</v>
      </c>
      <c r="AH61" s="640" t="str">
        <f t="shared" si="23"/>
        <v>—</v>
      </c>
      <c r="AI61" s="640" t="str">
        <f t="shared" si="23"/>
        <v>—</v>
      </c>
      <c r="AJ61" s="640" t="str">
        <f t="shared" si="23"/>
        <v>—</v>
      </c>
      <c r="AK61" s="640" t="str">
        <f t="shared" si="23"/>
        <v>—</v>
      </c>
      <c r="AL61" s="640" t="str">
        <f t="shared" si="23"/>
        <v>—</v>
      </c>
      <c r="AM61" s="640" t="str">
        <f t="shared" si="23"/>
        <v>—</v>
      </c>
      <c r="AN61" s="640" t="str">
        <f t="shared" si="23"/>
        <v>—</v>
      </c>
      <c r="AO61" s="640" t="str">
        <f t="shared" si="23"/>
        <v>—</v>
      </c>
      <c r="AP61" s="640" t="str">
        <f t="shared" si="23"/>
        <v>—</v>
      </c>
      <c r="AQ61" s="640" t="str">
        <f t="shared" si="23"/>
        <v>—</v>
      </c>
    </row>
    <row r="62" spans="1:43" s="1" customFormat="1">
      <c r="A62" s="329" t="s">
        <v>638</v>
      </c>
      <c r="B62" s="319" t="s">
        <v>58</v>
      </c>
      <c r="C62" s="323">
        <v>0</v>
      </c>
      <c r="D62" s="324">
        <v>0</v>
      </c>
      <c r="E62" s="324">
        <v>0</v>
      </c>
      <c r="F62" s="324">
        <v>0</v>
      </c>
      <c r="G62" s="324">
        <v>0</v>
      </c>
      <c r="H62" s="324">
        <v>0</v>
      </c>
      <c r="I62" s="323">
        <v>0</v>
      </c>
      <c r="J62" s="323">
        <v>0</v>
      </c>
      <c r="K62" s="324">
        <v>640284</v>
      </c>
      <c r="L62" s="324">
        <v>1024168</v>
      </c>
      <c r="M62" s="324">
        <v>93298</v>
      </c>
      <c r="N62" s="323">
        <v>1757750</v>
      </c>
      <c r="O62" s="323">
        <v>0</v>
      </c>
      <c r="P62" s="324">
        <v>0</v>
      </c>
      <c r="Q62" s="324">
        <v>0</v>
      </c>
      <c r="R62" s="323">
        <v>0</v>
      </c>
      <c r="S62" s="323">
        <v>0</v>
      </c>
      <c r="T62" s="323">
        <v>0</v>
      </c>
      <c r="U62" s="323">
        <v>0</v>
      </c>
      <c r="V62" s="633">
        <v>0</v>
      </c>
      <c r="W62" s="323">
        <v>0</v>
      </c>
      <c r="X62" s="633">
        <v>0</v>
      </c>
      <c r="Y62" s="323">
        <v>0</v>
      </c>
      <c r="Z62" s="748">
        <v>0</v>
      </c>
      <c r="AA62" s="108"/>
      <c r="AB62" s="108"/>
      <c r="AC62" s="108"/>
      <c r="AD62" s="108"/>
      <c r="AE62" s="108"/>
      <c r="AF62" s="108"/>
      <c r="AG62" s="430"/>
      <c r="AH62" s="108"/>
      <c r="AI62" s="108"/>
      <c r="AJ62" s="108"/>
      <c r="AK62" s="108"/>
      <c r="AL62" s="108"/>
      <c r="AM62" s="108"/>
      <c r="AN62" s="108"/>
      <c r="AO62" s="108"/>
      <c r="AP62" s="108"/>
      <c r="AQ62" s="108"/>
    </row>
    <row r="63" spans="1:43">
      <c r="A63" s="322"/>
      <c r="B63" s="32" t="s">
        <v>62</v>
      </c>
      <c r="C63" s="321">
        <v>0</v>
      </c>
      <c r="D63" s="2">
        <v>0</v>
      </c>
      <c r="E63" s="2">
        <v>0</v>
      </c>
      <c r="F63" s="2">
        <v>0</v>
      </c>
      <c r="G63" s="2">
        <v>0</v>
      </c>
      <c r="H63" s="2">
        <v>0</v>
      </c>
      <c r="I63" s="321">
        <v>0</v>
      </c>
      <c r="J63" s="321">
        <v>0</v>
      </c>
      <c r="K63" s="2">
        <v>5115</v>
      </c>
      <c r="L63" s="2">
        <v>7836</v>
      </c>
      <c r="M63" s="2">
        <v>1295</v>
      </c>
      <c r="N63" s="321">
        <v>14246</v>
      </c>
      <c r="O63" s="321">
        <v>0</v>
      </c>
      <c r="P63" s="2">
        <v>0</v>
      </c>
      <c r="Q63" s="2">
        <v>0</v>
      </c>
      <c r="R63" s="321">
        <v>0</v>
      </c>
      <c r="S63" s="321">
        <v>0</v>
      </c>
      <c r="T63" s="321">
        <v>0</v>
      </c>
      <c r="U63" s="321">
        <v>0</v>
      </c>
      <c r="V63" s="634">
        <v>0</v>
      </c>
      <c r="W63" s="321">
        <v>0</v>
      </c>
      <c r="X63" s="634">
        <v>0</v>
      </c>
      <c r="Y63" s="321">
        <v>0</v>
      </c>
      <c r="Z63" s="749">
        <v>0</v>
      </c>
      <c r="AA63" s="427"/>
      <c r="AB63" s="427"/>
      <c r="AC63" s="427"/>
      <c r="AD63" s="427"/>
      <c r="AE63" s="427"/>
      <c r="AF63" s="427"/>
      <c r="AG63" s="431"/>
      <c r="AH63" s="427"/>
      <c r="AI63" s="427"/>
      <c r="AJ63" s="427"/>
      <c r="AK63" s="427"/>
      <c r="AL63" s="427"/>
      <c r="AM63" s="427"/>
      <c r="AN63" s="427"/>
      <c r="AO63" s="427"/>
      <c r="AP63" s="427"/>
      <c r="AQ63" s="427"/>
    </row>
    <row r="64" spans="1:43" s="1" customFormat="1">
      <c r="A64" s="322"/>
      <c r="B64" s="369" t="s">
        <v>64</v>
      </c>
      <c r="C64" s="369">
        <v>0</v>
      </c>
      <c r="D64" s="370">
        <v>0</v>
      </c>
      <c r="E64" s="370">
        <v>0</v>
      </c>
      <c r="F64" s="370">
        <v>0</v>
      </c>
      <c r="G64" s="370">
        <v>0</v>
      </c>
      <c r="H64" s="370">
        <v>0</v>
      </c>
      <c r="I64" s="369">
        <v>0</v>
      </c>
      <c r="J64" s="369">
        <v>0</v>
      </c>
      <c r="K64" s="370">
        <v>7.9886425398729317E-3</v>
      </c>
      <c r="L64" s="370">
        <v>7.6510884932940691E-3</v>
      </c>
      <c r="M64" s="370">
        <v>1.388025466783854E-2</v>
      </c>
      <c r="N64" s="369">
        <v>8.1046792774854218E-3</v>
      </c>
      <c r="O64" s="369">
        <v>0</v>
      </c>
      <c r="P64" s="370">
        <v>0</v>
      </c>
      <c r="Q64" s="370">
        <v>0</v>
      </c>
      <c r="R64" s="369">
        <v>0</v>
      </c>
      <c r="S64" s="369">
        <v>0</v>
      </c>
      <c r="T64" s="369">
        <v>0</v>
      </c>
      <c r="U64" s="369">
        <v>0</v>
      </c>
      <c r="V64" s="635">
        <v>0</v>
      </c>
      <c r="W64" s="369">
        <v>0</v>
      </c>
      <c r="X64" s="635">
        <v>0</v>
      </c>
      <c r="Y64" s="369">
        <v>0</v>
      </c>
      <c r="Z64" s="760">
        <v>0</v>
      </c>
      <c r="AA64" s="426" t="str">
        <f t="shared" ref="AA64:AQ64" si="24">IF(D64&gt;0,D64,"—")</f>
        <v>—</v>
      </c>
      <c r="AB64" s="426" t="str">
        <f t="shared" si="24"/>
        <v>—</v>
      </c>
      <c r="AC64" s="426" t="str">
        <f t="shared" si="24"/>
        <v>—</v>
      </c>
      <c r="AD64" s="426" t="str">
        <f t="shared" si="24"/>
        <v>—</v>
      </c>
      <c r="AE64" s="426" t="str">
        <f t="shared" si="24"/>
        <v>—</v>
      </c>
      <c r="AF64" s="426" t="str">
        <f t="shared" si="24"/>
        <v>—</v>
      </c>
      <c r="AG64" s="429" t="str">
        <f t="shared" si="24"/>
        <v>—</v>
      </c>
      <c r="AH64" s="426">
        <f t="shared" si="24"/>
        <v>7.9886425398729317E-3</v>
      </c>
      <c r="AI64" s="426">
        <f t="shared" si="24"/>
        <v>7.6510884932940691E-3</v>
      </c>
      <c r="AJ64" s="426">
        <f t="shared" si="24"/>
        <v>1.388025466783854E-2</v>
      </c>
      <c r="AK64" s="426">
        <f t="shared" si="24"/>
        <v>8.1046792774854218E-3</v>
      </c>
      <c r="AL64" s="426" t="str">
        <f t="shared" si="24"/>
        <v>—</v>
      </c>
      <c r="AM64" s="426" t="str">
        <f t="shared" si="24"/>
        <v>—</v>
      </c>
      <c r="AN64" s="426" t="str">
        <f t="shared" si="24"/>
        <v>—</v>
      </c>
      <c r="AO64" s="426" t="str">
        <f t="shared" si="24"/>
        <v>—</v>
      </c>
      <c r="AP64" s="426" t="str">
        <f t="shared" si="24"/>
        <v>—</v>
      </c>
      <c r="AQ64" s="426" t="str">
        <f t="shared" si="24"/>
        <v>—</v>
      </c>
    </row>
    <row r="65" spans="1:43">
      <c r="A65" s="322"/>
      <c r="B65" s="32" t="s">
        <v>59</v>
      </c>
      <c r="C65" s="321">
        <v>0</v>
      </c>
      <c r="D65" s="2">
        <v>0</v>
      </c>
      <c r="E65" s="2">
        <v>0</v>
      </c>
      <c r="F65" s="2">
        <v>0</v>
      </c>
      <c r="G65" s="2">
        <v>0</v>
      </c>
      <c r="H65" s="2">
        <v>0</v>
      </c>
      <c r="I65" s="321">
        <v>0</v>
      </c>
      <c r="J65" s="321">
        <v>0</v>
      </c>
      <c r="K65" s="2">
        <v>712517</v>
      </c>
      <c r="L65" s="2">
        <v>1131458</v>
      </c>
      <c r="M65" s="2">
        <v>108080</v>
      </c>
      <c r="N65" s="321">
        <v>1952055</v>
      </c>
      <c r="O65" s="321">
        <v>0</v>
      </c>
      <c r="P65" s="2">
        <v>0</v>
      </c>
      <c r="Q65" s="2">
        <v>0</v>
      </c>
      <c r="R65" s="321">
        <v>0</v>
      </c>
      <c r="S65" s="321">
        <v>0</v>
      </c>
      <c r="T65" s="321">
        <v>0</v>
      </c>
      <c r="U65" s="321">
        <v>0</v>
      </c>
      <c r="V65" s="634">
        <v>0</v>
      </c>
      <c r="W65" s="321">
        <v>0</v>
      </c>
      <c r="X65" s="634">
        <v>0</v>
      </c>
      <c r="Y65" s="321">
        <v>0</v>
      </c>
      <c r="Z65" s="749">
        <v>0</v>
      </c>
      <c r="AA65" s="108"/>
      <c r="AB65" s="108"/>
      <c r="AC65" s="108"/>
      <c r="AD65" s="108"/>
      <c r="AE65" s="108"/>
      <c r="AF65" s="108"/>
      <c r="AG65" s="430"/>
      <c r="AH65" s="108"/>
      <c r="AI65" s="108"/>
      <c r="AJ65" s="108"/>
      <c r="AK65" s="108"/>
      <c r="AL65" s="108"/>
      <c r="AM65" s="108"/>
      <c r="AN65" s="108"/>
      <c r="AO65" s="108"/>
      <c r="AP65" s="108"/>
      <c r="AQ65" s="108"/>
    </row>
    <row r="66" spans="1:43" s="1" customFormat="1">
      <c r="A66" s="322"/>
      <c r="B66" s="32" t="s">
        <v>63</v>
      </c>
      <c r="C66" s="321">
        <v>0</v>
      </c>
      <c r="D66" s="2">
        <v>0</v>
      </c>
      <c r="E66" s="2">
        <v>0</v>
      </c>
      <c r="F66" s="2">
        <v>0</v>
      </c>
      <c r="G66" s="2">
        <v>0</v>
      </c>
      <c r="H66" s="2">
        <v>0</v>
      </c>
      <c r="I66" s="321">
        <v>0</v>
      </c>
      <c r="J66" s="321">
        <v>0</v>
      </c>
      <c r="K66" s="2">
        <v>6018</v>
      </c>
      <c r="L66" s="2">
        <v>9769</v>
      </c>
      <c r="M66" s="2">
        <v>1533</v>
      </c>
      <c r="N66" s="321">
        <v>17320</v>
      </c>
      <c r="O66" s="321">
        <v>0</v>
      </c>
      <c r="P66" s="2">
        <v>0</v>
      </c>
      <c r="Q66" s="2">
        <v>0</v>
      </c>
      <c r="R66" s="321">
        <v>0</v>
      </c>
      <c r="S66" s="321">
        <v>0</v>
      </c>
      <c r="T66" s="321">
        <v>0</v>
      </c>
      <c r="U66" s="321">
        <v>0</v>
      </c>
      <c r="V66" s="634">
        <v>0</v>
      </c>
      <c r="W66" s="321">
        <v>0</v>
      </c>
      <c r="X66" s="634">
        <v>0</v>
      </c>
      <c r="Y66" s="321">
        <v>0</v>
      </c>
      <c r="Z66" s="749">
        <v>0</v>
      </c>
      <c r="AA66" s="427"/>
      <c r="AB66" s="427"/>
      <c r="AC66" s="427"/>
      <c r="AD66" s="427"/>
      <c r="AE66" s="427"/>
      <c r="AF66" s="427"/>
      <c r="AG66" s="431"/>
      <c r="AH66" s="427"/>
      <c r="AI66" s="427"/>
      <c r="AJ66" s="427"/>
      <c r="AK66" s="427"/>
      <c r="AL66" s="427"/>
      <c r="AM66" s="427"/>
      <c r="AN66" s="427"/>
      <c r="AO66" s="427"/>
      <c r="AP66" s="427"/>
      <c r="AQ66" s="427"/>
    </row>
    <row r="67" spans="1:43">
      <c r="A67" s="322"/>
      <c r="B67" s="369" t="s">
        <v>67</v>
      </c>
      <c r="C67" s="369">
        <v>0</v>
      </c>
      <c r="D67" s="2">
        <v>0</v>
      </c>
      <c r="E67" s="2">
        <v>0</v>
      </c>
      <c r="F67" s="370">
        <v>0</v>
      </c>
      <c r="G67" s="2">
        <v>0</v>
      </c>
      <c r="H67" s="2">
        <v>0</v>
      </c>
      <c r="I67" s="321">
        <v>0</v>
      </c>
      <c r="J67" s="321">
        <v>0</v>
      </c>
      <c r="K67" s="2">
        <v>8.4461142681507943E-3</v>
      </c>
      <c r="L67" s="2">
        <v>8.6339926006975074E-3</v>
      </c>
      <c r="M67" s="2">
        <v>1.4183937823834198E-2</v>
      </c>
      <c r="N67" s="321">
        <v>8.8727008204174569E-3</v>
      </c>
      <c r="O67" s="321">
        <v>0</v>
      </c>
      <c r="P67" s="2">
        <v>0</v>
      </c>
      <c r="Q67" s="2">
        <v>0</v>
      </c>
      <c r="R67" s="321">
        <v>0</v>
      </c>
      <c r="S67" s="321">
        <v>0</v>
      </c>
      <c r="T67" s="321">
        <v>0</v>
      </c>
      <c r="U67" s="321">
        <v>0</v>
      </c>
      <c r="V67" s="634">
        <v>0</v>
      </c>
      <c r="W67" s="321">
        <v>0</v>
      </c>
      <c r="X67" s="634">
        <v>0</v>
      </c>
      <c r="Y67" s="321">
        <v>0</v>
      </c>
      <c r="Z67" s="749">
        <v>0</v>
      </c>
      <c r="AA67" s="426" t="str">
        <f t="shared" ref="AA67:AQ67" si="25">IF(D67&gt;0,D67,"—")</f>
        <v>—</v>
      </c>
      <c r="AB67" s="426" t="str">
        <f t="shared" si="25"/>
        <v>—</v>
      </c>
      <c r="AC67" s="426" t="str">
        <f t="shared" si="25"/>
        <v>—</v>
      </c>
      <c r="AD67" s="426" t="str">
        <f t="shared" si="25"/>
        <v>—</v>
      </c>
      <c r="AE67" s="426" t="str">
        <f t="shared" si="25"/>
        <v>—</v>
      </c>
      <c r="AF67" s="426" t="str">
        <f t="shared" si="25"/>
        <v>—</v>
      </c>
      <c r="AG67" s="429" t="str">
        <f t="shared" si="25"/>
        <v>—</v>
      </c>
      <c r="AH67" s="426">
        <f t="shared" si="25"/>
        <v>8.4461142681507943E-3</v>
      </c>
      <c r="AI67" s="426">
        <f t="shared" si="25"/>
        <v>8.6339926006975074E-3</v>
      </c>
      <c r="AJ67" s="426">
        <f t="shared" si="25"/>
        <v>1.4183937823834198E-2</v>
      </c>
      <c r="AK67" s="426">
        <f t="shared" si="25"/>
        <v>8.8727008204174569E-3</v>
      </c>
      <c r="AL67" s="426" t="str">
        <f t="shared" si="25"/>
        <v>—</v>
      </c>
      <c r="AM67" s="426" t="str">
        <f t="shared" si="25"/>
        <v>—</v>
      </c>
      <c r="AN67" s="426" t="str">
        <f t="shared" si="25"/>
        <v>—</v>
      </c>
      <c r="AO67" s="426" t="str">
        <f t="shared" si="25"/>
        <v>—</v>
      </c>
      <c r="AP67" s="426" t="str">
        <f t="shared" si="25"/>
        <v>—</v>
      </c>
      <c r="AQ67" s="426" t="str">
        <f t="shared" si="25"/>
        <v>—</v>
      </c>
    </row>
    <row r="68" spans="1:43" s="1" customFormat="1">
      <c r="A68" s="322"/>
      <c r="B68" s="32" t="s">
        <v>836</v>
      </c>
      <c r="C68" s="419">
        <v>0</v>
      </c>
      <c r="D68" s="761">
        <v>0</v>
      </c>
      <c r="E68" s="761">
        <v>0</v>
      </c>
      <c r="F68" s="761">
        <v>0</v>
      </c>
      <c r="G68" s="761">
        <v>0</v>
      </c>
      <c r="H68" s="761">
        <v>0</v>
      </c>
      <c r="I68" s="762">
        <v>0</v>
      </c>
      <c r="J68" s="762">
        <v>0</v>
      </c>
      <c r="K68" s="761">
        <v>4.5747172827786259E-4</v>
      </c>
      <c r="L68" s="761">
        <v>9.829041074034383E-4</v>
      </c>
      <c r="M68" s="761">
        <v>3.0368315599565814E-4</v>
      </c>
      <c r="N68" s="762">
        <v>7.6802154293203508E-4</v>
      </c>
      <c r="O68" s="762">
        <v>0</v>
      </c>
      <c r="P68" s="761">
        <v>0</v>
      </c>
      <c r="Q68" s="761">
        <v>0</v>
      </c>
      <c r="R68" s="762">
        <v>0</v>
      </c>
      <c r="S68" s="762">
        <v>0</v>
      </c>
      <c r="T68" s="762">
        <v>0</v>
      </c>
      <c r="U68" s="762">
        <v>0</v>
      </c>
      <c r="V68" s="777">
        <v>0</v>
      </c>
      <c r="W68" s="762">
        <v>0</v>
      </c>
      <c r="X68" s="777">
        <v>0</v>
      </c>
      <c r="Y68" s="762">
        <v>0</v>
      </c>
      <c r="Z68" s="763">
        <v>0</v>
      </c>
      <c r="AA68" s="640" t="str">
        <f t="shared" ref="AA68:AQ68" si="26">IF(OR((AA64="—"),(AA67="—")),"—",(AA67-AA64))</f>
        <v>—</v>
      </c>
      <c r="AB68" s="640" t="str">
        <f t="shared" si="26"/>
        <v>—</v>
      </c>
      <c r="AC68" s="640" t="str">
        <f t="shared" si="26"/>
        <v>—</v>
      </c>
      <c r="AD68" s="640" t="str">
        <f t="shared" si="26"/>
        <v>—</v>
      </c>
      <c r="AE68" s="640" t="str">
        <f t="shared" si="26"/>
        <v>—</v>
      </c>
      <c r="AF68" s="640" t="str">
        <f t="shared" si="26"/>
        <v>—</v>
      </c>
      <c r="AG68" s="641" t="str">
        <f t="shared" si="26"/>
        <v>—</v>
      </c>
      <c r="AH68" s="640">
        <f t="shared" si="26"/>
        <v>4.5747172827786259E-4</v>
      </c>
      <c r="AI68" s="640">
        <f t="shared" si="26"/>
        <v>9.829041074034383E-4</v>
      </c>
      <c r="AJ68" s="640">
        <f t="shared" si="26"/>
        <v>3.0368315599565814E-4</v>
      </c>
      <c r="AK68" s="640">
        <f t="shared" si="26"/>
        <v>7.6802154293203508E-4</v>
      </c>
      <c r="AL68" s="640" t="str">
        <f t="shared" si="26"/>
        <v>—</v>
      </c>
      <c r="AM68" s="640" t="str">
        <f t="shared" si="26"/>
        <v>—</v>
      </c>
      <c r="AN68" s="640" t="str">
        <f t="shared" si="26"/>
        <v>—</v>
      </c>
      <c r="AO68" s="640" t="str">
        <f t="shared" si="26"/>
        <v>—</v>
      </c>
      <c r="AP68" s="640" t="str">
        <f t="shared" si="26"/>
        <v>—</v>
      </c>
      <c r="AQ68" s="640" t="str">
        <f t="shared" si="26"/>
        <v>—</v>
      </c>
    </row>
    <row r="69" spans="1:43">
      <c r="A69" s="329" t="s">
        <v>532</v>
      </c>
      <c r="B69" s="319" t="s">
        <v>58</v>
      </c>
      <c r="C69" s="323">
        <v>494960</v>
      </c>
      <c r="D69" s="324">
        <v>891523</v>
      </c>
      <c r="E69" s="324">
        <v>1967477</v>
      </c>
      <c r="F69" s="324">
        <v>167410</v>
      </c>
      <c r="G69" s="324">
        <v>314725</v>
      </c>
      <c r="H69" s="324">
        <v>182142</v>
      </c>
      <c r="I69" s="323">
        <v>4018237</v>
      </c>
      <c r="J69" s="323">
        <v>0</v>
      </c>
      <c r="K69" s="324">
        <v>3162660</v>
      </c>
      <c r="L69" s="324">
        <v>3233940</v>
      </c>
      <c r="M69" s="324">
        <v>555510</v>
      </c>
      <c r="N69" s="323">
        <v>6952110</v>
      </c>
      <c r="O69" s="323">
        <v>0</v>
      </c>
      <c r="P69" s="324">
        <v>0</v>
      </c>
      <c r="Q69" s="324">
        <v>0</v>
      </c>
      <c r="R69" s="323">
        <v>0</v>
      </c>
      <c r="S69" s="323">
        <v>0</v>
      </c>
      <c r="T69" s="323">
        <v>0</v>
      </c>
      <c r="U69" s="323">
        <v>0</v>
      </c>
      <c r="V69" s="633">
        <v>0</v>
      </c>
      <c r="W69" s="323">
        <v>0</v>
      </c>
      <c r="X69" s="633">
        <v>0</v>
      </c>
      <c r="Y69" s="323">
        <v>0</v>
      </c>
      <c r="Z69" s="748">
        <v>0</v>
      </c>
      <c r="AA69" s="427"/>
      <c r="AB69" s="427"/>
      <c r="AC69" s="427"/>
      <c r="AD69" s="427"/>
      <c r="AE69" s="427"/>
      <c r="AF69" s="427"/>
      <c r="AG69" s="431"/>
      <c r="AH69" s="427"/>
      <c r="AI69" s="427"/>
      <c r="AJ69" s="427"/>
      <c r="AK69" s="427"/>
      <c r="AL69" s="427"/>
      <c r="AM69" s="427"/>
      <c r="AN69" s="427"/>
      <c r="AO69" s="427"/>
      <c r="AP69" s="427"/>
      <c r="AQ69" s="427"/>
    </row>
    <row r="70" spans="1:43" s="1" customFormat="1">
      <c r="A70" s="322"/>
      <c r="B70" s="32" t="s">
        <v>62</v>
      </c>
      <c r="C70" s="321">
        <v>0</v>
      </c>
      <c r="D70" s="2">
        <v>12546</v>
      </c>
      <c r="E70" s="2">
        <v>5067</v>
      </c>
      <c r="F70" s="2">
        <v>1605</v>
      </c>
      <c r="G70" s="2">
        <v>0</v>
      </c>
      <c r="H70" s="2">
        <v>0</v>
      </c>
      <c r="I70" s="321">
        <v>19218</v>
      </c>
      <c r="J70" s="321">
        <v>0</v>
      </c>
      <c r="K70" s="2">
        <v>88854.299999999988</v>
      </c>
      <c r="L70" s="2">
        <v>193186.19999999998</v>
      </c>
      <c r="M70" s="2">
        <v>28395.300000000003</v>
      </c>
      <c r="N70" s="321">
        <v>310435.80000000016</v>
      </c>
      <c r="O70" s="321">
        <v>0</v>
      </c>
      <c r="P70" s="2">
        <v>0</v>
      </c>
      <c r="Q70" s="2">
        <v>0</v>
      </c>
      <c r="R70" s="321">
        <v>0</v>
      </c>
      <c r="S70" s="321">
        <v>0</v>
      </c>
      <c r="T70" s="321">
        <v>0</v>
      </c>
      <c r="U70" s="321">
        <v>0</v>
      </c>
      <c r="V70" s="634">
        <v>0</v>
      </c>
      <c r="W70" s="321">
        <v>0</v>
      </c>
      <c r="X70" s="634">
        <v>0</v>
      </c>
      <c r="Y70" s="321">
        <v>0</v>
      </c>
      <c r="Z70" s="749">
        <v>0</v>
      </c>
      <c r="AA70" s="108"/>
      <c r="AB70" s="108"/>
      <c r="AC70" s="108"/>
      <c r="AD70" s="108"/>
      <c r="AE70" s="108"/>
      <c r="AF70" s="108"/>
      <c r="AG70" s="430"/>
      <c r="AH70" s="108"/>
      <c r="AI70" s="108"/>
      <c r="AJ70" s="108"/>
      <c r="AK70" s="108"/>
      <c r="AL70" s="108"/>
      <c r="AM70" s="108"/>
      <c r="AN70" s="108"/>
      <c r="AO70" s="108"/>
      <c r="AP70" s="108"/>
      <c r="AQ70" s="108"/>
    </row>
    <row r="71" spans="1:43">
      <c r="A71" s="322"/>
      <c r="B71" s="369" t="s">
        <v>64</v>
      </c>
      <c r="C71" s="321">
        <v>0</v>
      </c>
      <c r="D71" s="2">
        <v>1.4072547763770536E-2</v>
      </c>
      <c r="E71" s="2">
        <v>2.57537953429697E-3</v>
      </c>
      <c r="F71" s="370">
        <v>9.5872409055611976E-3</v>
      </c>
      <c r="G71" s="2">
        <v>0</v>
      </c>
      <c r="H71" s="2">
        <v>0</v>
      </c>
      <c r="I71" s="321">
        <v>4.7826945001004173E-3</v>
      </c>
      <c r="J71" s="321">
        <v>0</v>
      </c>
      <c r="K71" s="2">
        <v>2.8094799946880154E-2</v>
      </c>
      <c r="L71" s="2">
        <v>5.9737100873856655E-2</v>
      </c>
      <c r="M71" s="2">
        <v>5.1115731489982184E-2</v>
      </c>
      <c r="N71" s="321">
        <v>4.4653464919283521E-2</v>
      </c>
      <c r="O71" s="321">
        <v>0</v>
      </c>
      <c r="P71" s="2">
        <v>0</v>
      </c>
      <c r="Q71" s="2">
        <v>0</v>
      </c>
      <c r="R71" s="321">
        <v>0</v>
      </c>
      <c r="S71" s="321">
        <v>0</v>
      </c>
      <c r="T71" s="321">
        <v>0</v>
      </c>
      <c r="U71" s="321">
        <v>0</v>
      </c>
      <c r="V71" s="634">
        <v>0</v>
      </c>
      <c r="W71" s="321">
        <v>0</v>
      </c>
      <c r="X71" s="634">
        <v>0</v>
      </c>
      <c r="Y71" s="321">
        <v>0</v>
      </c>
      <c r="Z71" s="749">
        <v>0</v>
      </c>
      <c r="AA71" s="426">
        <f t="shared" ref="AA71:AQ71" si="27">IF(D71&gt;0,D71,"—")</f>
        <v>1.4072547763770536E-2</v>
      </c>
      <c r="AB71" s="426">
        <f t="shared" si="27"/>
        <v>2.57537953429697E-3</v>
      </c>
      <c r="AC71" s="426">
        <f t="shared" si="27"/>
        <v>9.5872409055611976E-3</v>
      </c>
      <c r="AD71" s="426" t="str">
        <f t="shared" si="27"/>
        <v>—</v>
      </c>
      <c r="AE71" s="426" t="str">
        <f t="shared" si="27"/>
        <v>—</v>
      </c>
      <c r="AF71" s="426">
        <f t="shared" si="27"/>
        <v>4.7826945001004173E-3</v>
      </c>
      <c r="AG71" s="429" t="str">
        <f t="shared" si="27"/>
        <v>—</v>
      </c>
      <c r="AH71" s="426">
        <f t="shared" si="27"/>
        <v>2.8094799946880154E-2</v>
      </c>
      <c r="AI71" s="426">
        <f t="shared" si="27"/>
        <v>5.9737100873856655E-2</v>
      </c>
      <c r="AJ71" s="426">
        <f t="shared" si="27"/>
        <v>5.1115731489982184E-2</v>
      </c>
      <c r="AK71" s="426">
        <f t="shared" si="27"/>
        <v>4.4653464919283521E-2</v>
      </c>
      <c r="AL71" s="426" t="str">
        <f t="shared" si="27"/>
        <v>—</v>
      </c>
      <c r="AM71" s="426" t="str">
        <f t="shared" si="27"/>
        <v>—</v>
      </c>
      <c r="AN71" s="426" t="str">
        <f t="shared" si="27"/>
        <v>—</v>
      </c>
      <c r="AO71" s="426" t="str">
        <f t="shared" si="27"/>
        <v>—</v>
      </c>
      <c r="AP71" s="426" t="str">
        <f t="shared" si="27"/>
        <v>—</v>
      </c>
      <c r="AQ71" s="426" t="str">
        <f t="shared" si="27"/>
        <v>—</v>
      </c>
    </row>
    <row r="72" spans="1:43" s="1" customFormat="1">
      <c r="A72" s="322"/>
      <c r="B72" s="32" t="s">
        <v>59</v>
      </c>
      <c r="C72" s="321">
        <v>508041</v>
      </c>
      <c r="D72" s="2">
        <v>938294</v>
      </c>
      <c r="E72" s="2">
        <v>2010485</v>
      </c>
      <c r="F72" s="2">
        <v>155114</v>
      </c>
      <c r="G72" s="2">
        <v>334724</v>
      </c>
      <c r="H72" s="2">
        <v>193937</v>
      </c>
      <c r="I72" s="321">
        <v>4140595</v>
      </c>
      <c r="J72" s="321">
        <v>0</v>
      </c>
      <c r="K72" s="2">
        <v>3530700</v>
      </c>
      <c r="L72" s="2">
        <v>3639330</v>
      </c>
      <c r="M72" s="2">
        <v>625980</v>
      </c>
      <c r="N72" s="321">
        <v>7796010</v>
      </c>
      <c r="O72" s="321">
        <v>0</v>
      </c>
      <c r="P72" s="2">
        <v>0</v>
      </c>
      <c r="Q72" s="2">
        <v>0</v>
      </c>
      <c r="R72" s="321">
        <v>0</v>
      </c>
      <c r="S72" s="321">
        <v>0</v>
      </c>
      <c r="T72" s="321">
        <v>0</v>
      </c>
      <c r="U72" s="321">
        <v>0</v>
      </c>
      <c r="V72" s="634">
        <v>0</v>
      </c>
      <c r="W72" s="321">
        <v>0</v>
      </c>
      <c r="X72" s="634">
        <v>0</v>
      </c>
      <c r="Y72" s="321">
        <v>0</v>
      </c>
      <c r="Z72" s="749">
        <v>0</v>
      </c>
      <c r="AA72" s="108"/>
      <c r="AB72" s="108"/>
      <c r="AC72" s="108"/>
      <c r="AD72" s="108"/>
      <c r="AE72" s="108"/>
      <c r="AF72" s="108"/>
      <c r="AG72" s="430"/>
      <c r="AH72" s="108"/>
      <c r="AI72" s="108"/>
      <c r="AJ72" s="108"/>
      <c r="AK72" s="108"/>
      <c r="AL72" s="108"/>
      <c r="AM72" s="108"/>
      <c r="AN72" s="108"/>
      <c r="AO72" s="108"/>
      <c r="AP72" s="108"/>
      <c r="AQ72" s="108"/>
    </row>
    <row r="73" spans="1:43">
      <c r="A73" s="322"/>
      <c r="B73" s="32" t="s">
        <v>63</v>
      </c>
      <c r="C73" s="321">
        <v>0</v>
      </c>
      <c r="D73" s="2">
        <v>22115</v>
      </c>
      <c r="E73" s="2">
        <v>8049</v>
      </c>
      <c r="F73" s="2">
        <v>2360</v>
      </c>
      <c r="G73" s="2">
        <v>0</v>
      </c>
      <c r="H73" s="2">
        <v>90</v>
      </c>
      <c r="I73" s="321">
        <v>32614</v>
      </c>
      <c r="J73" s="321">
        <v>0</v>
      </c>
      <c r="K73" s="2">
        <v>93666.299999999988</v>
      </c>
      <c r="L73" s="2">
        <v>204886.8</v>
      </c>
      <c r="M73" s="2">
        <v>31147.200000000001</v>
      </c>
      <c r="N73" s="321">
        <v>329700.3000000001</v>
      </c>
      <c r="O73" s="321">
        <v>0</v>
      </c>
      <c r="P73" s="2">
        <v>0</v>
      </c>
      <c r="Q73" s="2">
        <v>0</v>
      </c>
      <c r="R73" s="321">
        <v>0</v>
      </c>
      <c r="S73" s="321">
        <v>0</v>
      </c>
      <c r="T73" s="321">
        <v>0</v>
      </c>
      <c r="U73" s="321">
        <v>0</v>
      </c>
      <c r="V73" s="634">
        <v>0</v>
      </c>
      <c r="W73" s="321">
        <v>0</v>
      </c>
      <c r="X73" s="634">
        <v>0</v>
      </c>
      <c r="Y73" s="321">
        <v>0</v>
      </c>
      <c r="Z73" s="749">
        <v>0</v>
      </c>
      <c r="AA73" s="427"/>
      <c r="AB73" s="427"/>
      <c r="AC73" s="427"/>
      <c r="AD73" s="427"/>
      <c r="AE73" s="427"/>
      <c r="AF73" s="427"/>
      <c r="AG73" s="431"/>
      <c r="AH73" s="427"/>
      <c r="AI73" s="427"/>
      <c r="AJ73" s="427"/>
      <c r="AK73" s="427"/>
      <c r="AL73" s="427"/>
      <c r="AM73" s="427"/>
      <c r="AN73" s="427"/>
      <c r="AO73" s="427"/>
      <c r="AP73" s="427"/>
      <c r="AQ73" s="427"/>
    </row>
    <row r="74" spans="1:43" s="1" customFormat="1">
      <c r="A74" s="322"/>
      <c r="B74" s="369" t="s">
        <v>67</v>
      </c>
      <c r="C74" s="321">
        <v>0</v>
      </c>
      <c r="D74" s="2">
        <v>2.3569371646839903E-2</v>
      </c>
      <c r="E74" s="2">
        <v>4.0035115904868725E-3</v>
      </c>
      <c r="F74" s="370">
        <v>1.5214616346686952E-2</v>
      </c>
      <c r="G74" s="2">
        <v>0</v>
      </c>
      <c r="H74" s="2">
        <v>4.6406822834219361E-4</v>
      </c>
      <c r="I74" s="321">
        <v>7.8766457477729649E-3</v>
      </c>
      <c r="J74" s="321">
        <v>0</v>
      </c>
      <c r="K74" s="2">
        <v>2.6529101877814595E-2</v>
      </c>
      <c r="L74" s="2">
        <v>5.6297944951405887E-2</v>
      </c>
      <c r="M74" s="2">
        <v>4.9757500239624268E-2</v>
      </c>
      <c r="N74" s="321">
        <v>4.2290902654049972E-2</v>
      </c>
      <c r="O74" s="321">
        <v>0</v>
      </c>
      <c r="P74" s="2">
        <v>0</v>
      </c>
      <c r="Q74" s="2">
        <v>0</v>
      </c>
      <c r="R74" s="321">
        <v>0</v>
      </c>
      <c r="S74" s="321">
        <v>0</v>
      </c>
      <c r="T74" s="321">
        <v>0</v>
      </c>
      <c r="U74" s="321">
        <v>0</v>
      </c>
      <c r="V74" s="634">
        <v>0</v>
      </c>
      <c r="W74" s="321">
        <v>0</v>
      </c>
      <c r="X74" s="634">
        <v>0</v>
      </c>
      <c r="Y74" s="321">
        <v>0</v>
      </c>
      <c r="Z74" s="749">
        <v>0</v>
      </c>
      <c r="AA74" s="426">
        <f t="shared" ref="AA74:AQ74" si="28">IF(D74&gt;0,D74,"—")</f>
        <v>2.3569371646839903E-2</v>
      </c>
      <c r="AB74" s="426">
        <f t="shared" si="28"/>
        <v>4.0035115904868725E-3</v>
      </c>
      <c r="AC74" s="426">
        <f t="shared" si="28"/>
        <v>1.5214616346686952E-2</v>
      </c>
      <c r="AD74" s="426" t="str">
        <f t="shared" si="28"/>
        <v>—</v>
      </c>
      <c r="AE74" s="426">
        <f t="shared" si="28"/>
        <v>4.6406822834219361E-4</v>
      </c>
      <c r="AF74" s="426">
        <f t="shared" si="28"/>
        <v>7.8766457477729649E-3</v>
      </c>
      <c r="AG74" s="429" t="str">
        <f t="shared" si="28"/>
        <v>—</v>
      </c>
      <c r="AH74" s="426">
        <f t="shared" si="28"/>
        <v>2.6529101877814595E-2</v>
      </c>
      <c r="AI74" s="426">
        <f t="shared" si="28"/>
        <v>5.6297944951405887E-2</v>
      </c>
      <c r="AJ74" s="426">
        <f t="shared" si="28"/>
        <v>4.9757500239624268E-2</v>
      </c>
      <c r="AK74" s="426">
        <f t="shared" si="28"/>
        <v>4.2290902654049972E-2</v>
      </c>
      <c r="AL74" s="426" t="str">
        <f t="shared" si="28"/>
        <v>—</v>
      </c>
      <c r="AM74" s="426" t="str">
        <f t="shared" si="28"/>
        <v>—</v>
      </c>
      <c r="AN74" s="426" t="str">
        <f t="shared" si="28"/>
        <v>—</v>
      </c>
      <c r="AO74" s="426" t="str">
        <f t="shared" si="28"/>
        <v>—</v>
      </c>
      <c r="AP74" s="426" t="str">
        <f t="shared" si="28"/>
        <v>—</v>
      </c>
      <c r="AQ74" s="426" t="str">
        <f t="shared" si="28"/>
        <v>—</v>
      </c>
    </row>
    <row r="75" spans="1:43">
      <c r="A75" s="322"/>
      <c r="B75" s="32" t="s">
        <v>836</v>
      </c>
      <c r="C75" s="757">
        <v>0</v>
      </c>
      <c r="D75" s="758">
        <v>9.4968238830693674E-3</v>
      </c>
      <c r="E75" s="758">
        <v>1.4281320561899025E-3</v>
      </c>
      <c r="F75" s="758">
        <v>5.6273754411257544E-3</v>
      </c>
      <c r="G75" s="758">
        <v>0</v>
      </c>
      <c r="H75" s="758">
        <v>4.6406822834219361E-4</v>
      </c>
      <c r="I75" s="757">
        <v>3.0939512476725476E-3</v>
      </c>
      <c r="J75" s="757">
        <v>0</v>
      </c>
      <c r="K75" s="758">
        <v>-1.5656980690655596E-3</v>
      </c>
      <c r="L75" s="758">
        <v>-3.4391559224507678E-3</v>
      </c>
      <c r="M75" s="758">
        <v>-1.3582312503579164E-3</v>
      </c>
      <c r="N75" s="757">
        <v>-2.362562265233549E-3</v>
      </c>
      <c r="O75" s="757">
        <v>0</v>
      </c>
      <c r="P75" s="758">
        <v>0</v>
      </c>
      <c r="Q75" s="758">
        <v>0</v>
      </c>
      <c r="R75" s="757">
        <v>0</v>
      </c>
      <c r="S75" s="757">
        <v>0</v>
      </c>
      <c r="T75" s="757">
        <v>0</v>
      </c>
      <c r="U75" s="757">
        <v>0</v>
      </c>
      <c r="V75" s="776">
        <v>0</v>
      </c>
      <c r="W75" s="757">
        <v>0</v>
      </c>
      <c r="X75" s="776">
        <v>0</v>
      </c>
      <c r="Y75" s="757">
        <v>0</v>
      </c>
      <c r="Z75" s="759">
        <v>0</v>
      </c>
      <c r="AA75" s="640">
        <f t="shared" ref="AA75:AQ75" si="29">IF(OR((AA71="—"),(AA74="—")),"—",(AA74-AA71))</f>
        <v>9.4968238830693674E-3</v>
      </c>
      <c r="AB75" s="640">
        <f t="shared" si="29"/>
        <v>1.4281320561899025E-3</v>
      </c>
      <c r="AC75" s="640">
        <f t="shared" si="29"/>
        <v>5.6273754411257544E-3</v>
      </c>
      <c r="AD75" s="640" t="str">
        <f t="shared" si="29"/>
        <v>—</v>
      </c>
      <c r="AE75" s="640" t="str">
        <f t="shared" si="29"/>
        <v>—</v>
      </c>
      <c r="AF75" s="640">
        <f t="shared" si="29"/>
        <v>3.0939512476725476E-3</v>
      </c>
      <c r="AG75" s="641" t="str">
        <f t="shared" si="29"/>
        <v>—</v>
      </c>
      <c r="AH75" s="640">
        <f t="shared" si="29"/>
        <v>-1.5656980690655596E-3</v>
      </c>
      <c r="AI75" s="640">
        <f t="shared" si="29"/>
        <v>-3.4391559224507678E-3</v>
      </c>
      <c r="AJ75" s="640">
        <f t="shared" si="29"/>
        <v>-1.3582312503579164E-3</v>
      </c>
      <c r="AK75" s="640">
        <f t="shared" si="29"/>
        <v>-2.362562265233549E-3</v>
      </c>
      <c r="AL75" s="640" t="str">
        <f t="shared" si="29"/>
        <v>—</v>
      </c>
      <c r="AM75" s="640" t="str">
        <f t="shared" si="29"/>
        <v>—</v>
      </c>
      <c r="AN75" s="640" t="str">
        <f t="shared" si="29"/>
        <v>—</v>
      </c>
      <c r="AO75" s="640" t="str">
        <f t="shared" si="29"/>
        <v>—</v>
      </c>
      <c r="AP75" s="640" t="str">
        <f t="shared" si="29"/>
        <v>—</v>
      </c>
      <c r="AQ75" s="640" t="str">
        <f t="shared" si="29"/>
        <v>—</v>
      </c>
    </row>
    <row r="76" spans="1:43" s="1" customFormat="1">
      <c r="A76" s="329" t="s">
        <v>659</v>
      </c>
      <c r="B76" s="319" t="s">
        <v>58</v>
      </c>
      <c r="C76" s="323">
        <v>1063449</v>
      </c>
      <c r="D76" s="324">
        <v>0</v>
      </c>
      <c r="E76" s="324">
        <v>506376</v>
      </c>
      <c r="F76" s="324">
        <v>0</v>
      </c>
      <c r="G76" s="324">
        <v>462476</v>
      </c>
      <c r="H76" s="324">
        <v>149110</v>
      </c>
      <c r="I76" s="323">
        <v>2181411</v>
      </c>
      <c r="J76" s="323">
        <v>88068</v>
      </c>
      <c r="K76" s="324">
        <v>579241</v>
      </c>
      <c r="L76" s="324">
        <v>357332</v>
      </c>
      <c r="M76" s="324">
        <v>362223</v>
      </c>
      <c r="N76" s="323">
        <v>1386864</v>
      </c>
      <c r="O76" s="323">
        <v>0</v>
      </c>
      <c r="P76" s="324">
        <v>0</v>
      </c>
      <c r="Q76" s="324">
        <v>0</v>
      </c>
      <c r="R76" s="323">
        <v>0</v>
      </c>
      <c r="S76" s="323">
        <v>0</v>
      </c>
      <c r="T76" s="323">
        <v>0</v>
      </c>
      <c r="U76" s="323">
        <v>0</v>
      </c>
      <c r="V76" s="633">
        <v>0</v>
      </c>
      <c r="W76" s="323">
        <v>0</v>
      </c>
      <c r="X76" s="633">
        <v>0</v>
      </c>
      <c r="Y76" s="323">
        <v>0</v>
      </c>
      <c r="Z76" s="748">
        <v>0</v>
      </c>
      <c r="AA76" s="108"/>
      <c r="AB76" s="108"/>
      <c r="AC76" s="108"/>
      <c r="AD76" s="108"/>
      <c r="AE76" s="108"/>
      <c r="AF76" s="108"/>
      <c r="AG76" s="430"/>
      <c r="AH76" s="108"/>
      <c r="AI76" s="108"/>
      <c r="AJ76" s="108"/>
      <c r="AK76" s="108"/>
      <c r="AL76" s="108"/>
      <c r="AM76" s="108"/>
      <c r="AN76" s="108"/>
      <c r="AO76" s="108"/>
      <c r="AP76" s="108"/>
      <c r="AQ76" s="108"/>
    </row>
    <row r="77" spans="1:43">
      <c r="A77" s="322"/>
      <c r="B77" s="32" t="s">
        <v>62</v>
      </c>
      <c r="C77" s="321">
        <v>1325</v>
      </c>
      <c r="D77" s="2">
        <v>0</v>
      </c>
      <c r="E77" s="2">
        <v>3262</v>
      </c>
      <c r="F77" s="2">
        <v>0</v>
      </c>
      <c r="G77" s="2">
        <v>5188</v>
      </c>
      <c r="H77" s="2">
        <v>2419</v>
      </c>
      <c r="I77" s="321">
        <v>12194</v>
      </c>
      <c r="J77" s="321">
        <v>1054</v>
      </c>
      <c r="K77" s="2">
        <v>12933</v>
      </c>
      <c r="L77" s="2">
        <v>7462</v>
      </c>
      <c r="M77" s="2">
        <v>15368</v>
      </c>
      <c r="N77" s="321">
        <v>36817</v>
      </c>
      <c r="O77" s="321">
        <v>0</v>
      </c>
      <c r="P77" s="2">
        <v>0</v>
      </c>
      <c r="Q77" s="2">
        <v>0</v>
      </c>
      <c r="R77" s="321">
        <v>0</v>
      </c>
      <c r="S77" s="321">
        <v>0</v>
      </c>
      <c r="T77" s="321">
        <v>0</v>
      </c>
      <c r="U77" s="321">
        <v>0</v>
      </c>
      <c r="V77" s="634">
        <v>0</v>
      </c>
      <c r="W77" s="321">
        <v>0</v>
      </c>
      <c r="X77" s="634">
        <v>0</v>
      </c>
      <c r="Y77" s="321">
        <v>0</v>
      </c>
      <c r="Z77" s="749">
        <v>0</v>
      </c>
      <c r="AA77" s="427"/>
      <c r="AB77" s="427"/>
      <c r="AC77" s="427"/>
      <c r="AD77" s="427"/>
      <c r="AE77" s="427"/>
      <c r="AF77" s="427"/>
      <c r="AG77" s="431"/>
      <c r="AH77" s="427"/>
      <c r="AI77" s="427"/>
      <c r="AJ77" s="427"/>
      <c r="AK77" s="427"/>
      <c r="AL77" s="427"/>
      <c r="AM77" s="427"/>
      <c r="AN77" s="427"/>
      <c r="AO77" s="427"/>
      <c r="AP77" s="427"/>
      <c r="AQ77" s="427"/>
    </row>
    <row r="78" spans="1:43" s="1" customFormat="1">
      <c r="A78" s="322"/>
      <c r="B78" s="369" t="s">
        <v>64</v>
      </c>
      <c r="C78" s="321">
        <v>1.2459459739018984E-3</v>
      </c>
      <c r="D78" s="2">
        <v>0</v>
      </c>
      <c r="E78" s="2">
        <v>6.4418534843673474E-3</v>
      </c>
      <c r="F78" s="370">
        <v>0</v>
      </c>
      <c r="G78" s="2">
        <v>1.121787941428312E-2</v>
      </c>
      <c r="H78" s="2">
        <v>1.6222922674535577E-2</v>
      </c>
      <c r="I78" s="321">
        <v>5.5899598929316854E-3</v>
      </c>
      <c r="J78" s="321">
        <v>1.1968024708180043E-2</v>
      </c>
      <c r="K78" s="2">
        <v>2.2327494082773836E-2</v>
      </c>
      <c r="L78" s="2">
        <v>2.08825406064948E-2</v>
      </c>
      <c r="M78" s="2">
        <v>4.2426902764319215E-2</v>
      </c>
      <c r="N78" s="321">
        <v>2.6546943319604516E-2</v>
      </c>
      <c r="O78" s="321">
        <v>0</v>
      </c>
      <c r="P78" s="2">
        <v>0</v>
      </c>
      <c r="Q78" s="2">
        <v>0</v>
      </c>
      <c r="R78" s="321">
        <v>0</v>
      </c>
      <c r="S78" s="321">
        <v>0</v>
      </c>
      <c r="T78" s="321">
        <v>0</v>
      </c>
      <c r="U78" s="321">
        <v>0</v>
      </c>
      <c r="V78" s="634">
        <v>0</v>
      </c>
      <c r="W78" s="321">
        <v>0</v>
      </c>
      <c r="X78" s="634">
        <v>0</v>
      </c>
      <c r="Y78" s="321">
        <v>0</v>
      </c>
      <c r="Z78" s="749">
        <v>0</v>
      </c>
      <c r="AA78" s="426" t="str">
        <f t="shared" ref="AA78:AQ78" si="30">IF(D78&gt;0,D78,"—")</f>
        <v>—</v>
      </c>
      <c r="AB78" s="426">
        <f t="shared" si="30"/>
        <v>6.4418534843673474E-3</v>
      </c>
      <c r="AC78" s="426" t="str">
        <f t="shared" si="30"/>
        <v>—</v>
      </c>
      <c r="AD78" s="426">
        <f t="shared" si="30"/>
        <v>1.121787941428312E-2</v>
      </c>
      <c r="AE78" s="426">
        <f t="shared" si="30"/>
        <v>1.6222922674535577E-2</v>
      </c>
      <c r="AF78" s="426">
        <f t="shared" si="30"/>
        <v>5.5899598929316854E-3</v>
      </c>
      <c r="AG78" s="429">
        <f t="shared" si="30"/>
        <v>1.1968024708180043E-2</v>
      </c>
      <c r="AH78" s="426">
        <f t="shared" si="30"/>
        <v>2.2327494082773836E-2</v>
      </c>
      <c r="AI78" s="426">
        <f t="shared" si="30"/>
        <v>2.08825406064948E-2</v>
      </c>
      <c r="AJ78" s="426">
        <f t="shared" si="30"/>
        <v>4.2426902764319215E-2</v>
      </c>
      <c r="AK78" s="426">
        <f t="shared" si="30"/>
        <v>2.6546943319604516E-2</v>
      </c>
      <c r="AL78" s="426" t="str">
        <f t="shared" si="30"/>
        <v>—</v>
      </c>
      <c r="AM78" s="426" t="str">
        <f t="shared" si="30"/>
        <v>—</v>
      </c>
      <c r="AN78" s="426" t="str">
        <f t="shared" si="30"/>
        <v>—</v>
      </c>
      <c r="AO78" s="426" t="str">
        <f t="shared" si="30"/>
        <v>—</v>
      </c>
      <c r="AP78" s="426" t="str">
        <f t="shared" si="30"/>
        <v>—</v>
      </c>
      <c r="AQ78" s="426" t="str">
        <f t="shared" si="30"/>
        <v>—</v>
      </c>
    </row>
    <row r="79" spans="1:43">
      <c r="A79" s="322"/>
      <c r="B79" s="32" t="s">
        <v>59</v>
      </c>
      <c r="C79" s="321">
        <v>1059850</v>
      </c>
      <c r="D79" s="2">
        <v>0</v>
      </c>
      <c r="E79" s="2">
        <v>522261</v>
      </c>
      <c r="F79" s="2">
        <v>0</v>
      </c>
      <c r="G79" s="2">
        <v>549112</v>
      </c>
      <c r="H79" s="2">
        <v>156762</v>
      </c>
      <c r="I79" s="321">
        <v>2287985</v>
      </c>
      <c r="J79" s="321">
        <v>98556</v>
      </c>
      <c r="K79" s="2">
        <v>639327</v>
      </c>
      <c r="L79" s="2">
        <v>387352</v>
      </c>
      <c r="M79" s="2">
        <v>396783</v>
      </c>
      <c r="N79" s="321">
        <v>1522018</v>
      </c>
      <c r="O79" s="321">
        <v>0</v>
      </c>
      <c r="P79" s="2">
        <v>0</v>
      </c>
      <c r="Q79" s="2">
        <v>0</v>
      </c>
      <c r="R79" s="321">
        <v>0</v>
      </c>
      <c r="S79" s="321">
        <v>0</v>
      </c>
      <c r="T79" s="321">
        <v>0</v>
      </c>
      <c r="U79" s="321">
        <v>0</v>
      </c>
      <c r="V79" s="634">
        <v>0</v>
      </c>
      <c r="W79" s="321">
        <v>0</v>
      </c>
      <c r="X79" s="634">
        <v>0</v>
      </c>
      <c r="Y79" s="321">
        <v>0</v>
      </c>
      <c r="Z79" s="749">
        <v>0</v>
      </c>
      <c r="AA79" s="108"/>
      <c r="AB79" s="108"/>
      <c r="AC79" s="108"/>
      <c r="AD79" s="108"/>
      <c r="AE79" s="108"/>
      <c r="AF79" s="108"/>
      <c r="AG79" s="430"/>
      <c r="AH79" s="108"/>
      <c r="AI79" s="108"/>
      <c r="AJ79" s="108"/>
      <c r="AK79" s="108"/>
      <c r="AL79" s="108"/>
      <c r="AM79" s="108"/>
      <c r="AN79" s="108"/>
      <c r="AO79" s="108"/>
      <c r="AP79" s="108"/>
      <c r="AQ79" s="108"/>
    </row>
    <row r="80" spans="1:43" s="1" customFormat="1">
      <c r="A80" s="322"/>
      <c r="B80" s="32" t="s">
        <v>63</v>
      </c>
      <c r="C80" s="321">
        <v>1247</v>
      </c>
      <c r="D80" s="2">
        <v>0</v>
      </c>
      <c r="E80" s="2">
        <v>2691</v>
      </c>
      <c r="F80" s="2">
        <v>0</v>
      </c>
      <c r="G80" s="2">
        <v>5590</v>
      </c>
      <c r="H80" s="2">
        <v>2733</v>
      </c>
      <c r="I80" s="321">
        <v>12261</v>
      </c>
      <c r="J80" s="321">
        <v>1152</v>
      </c>
      <c r="K80" s="2">
        <v>16903</v>
      </c>
      <c r="L80" s="2">
        <v>6342</v>
      </c>
      <c r="M80" s="2">
        <v>18615</v>
      </c>
      <c r="N80" s="321">
        <v>43012</v>
      </c>
      <c r="O80" s="321">
        <v>0</v>
      </c>
      <c r="P80" s="2">
        <v>0</v>
      </c>
      <c r="Q80" s="2">
        <v>0</v>
      </c>
      <c r="R80" s="321">
        <v>0</v>
      </c>
      <c r="S80" s="321">
        <v>0</v>
      </c>
      <c r="T80" s="321">
        <v>0</v>
      </c>
      <c r="U80" s="321">
        <v>0</v>
      </c>
      <c r="V80" s="634">
        <v>0</v>
      </c>
      <c r="W80" s="321">
        <v>0</v>
      </c>
      <c r="X80" s="634">
        <v>0</v>
      </c>
      <c r="Y80" s="321">
        <v>0</v>
      </c>
      <c r="Z80" s="749">
        <v>0</v>
      </c>
      <c r="AA80" s="427"/>
      <c r="AB80" s="427"/>
      <c r="AC80" s="427"/>
      <c r="AD80" s="427"/>
      <c r="AE80" s="427"/>
      <c r="AF80" s="427"/>
      <c r="AG80" s="431"/>
      <c r="AH80" s="427"/>
      <c r="AI80" s="427"/>
      <c r="AJ80" s="427"/>
      <c r="AK80" s="427"/>
      <c r="AL80" s="427"/>
      <c r="AM80" s="427"/>
      <c r="AN80" s="427"/>
      <c r="AO80" s="427"/>
      <c r="AP80" s="427"/>
      <c r="AQ80" s="427"/>
    </row>
    <row r="81" spans="1:43">
      <c r="A81" s="322"/>
      <c r="B81" s="369" t="s">
        <v>67</v>
      </c>
      <c r="C81" s="321">
        <v>1.1765815917346794E-3</v>
      </c>
      <c r="D81" s="2">
        <v>0</v>
      </c>
      <c r="E81" s="2">
        <v>5.1525961157352362E-3</v>
      </c>
      <c r="F81" s="370">
        <v>0</v>
      </c>
      <c r="G81" s="2">
        <v>1.0180072553504567E-2</v>
      </c>
      <c r="H81" s="2">
        <v>1.7434072032763041E-2</v>
      </c>
      <c r="I81" s="321">
        <v>5.3588638037399723E-3</v>
      </c>
      <c r="J81" s="321">
        <v>1.1688786070863266E-2</v>
      </c>
      <c r="K81" s="2">
        <v>2.643873948699179E-2</v>
      </c>
      <c r="L81" s="2">
        <v>1.6372704929882898E-2</v>
      </c>
      <c r="M81" s="2">
        <v>4.6914812378554528E-2</v>
      </c>
      <c r="N81" s="321">
        <v>2.825984975210543E-2</v>
      </c>
      <c r="O81" s="321">
        <v>0</v>
      </c>
      <c r="P81" s="2">
        <v>0</v>
      </c>
      <c r="Q81" s="2">
        <v>0</v>
      </c>
      <c r="R81" s="321">
        <v>0</v>
      </c>
      <c r="S81" s="321">
        <v>0</v>
      </c>
      <c r="T81" s="321">
        <v>0</v>
      </c>
      <c r="U81" s="321">
        <v>0</v>
      </c>
      <c r="V81" s="634">
        <v>0</v>
      </c>
      <c r="W81" s="321">
        <v>0</v>
      </c>
      <c r="X81" s="634">
        <v>0</v>
      </c>
      <c r="Y81" s="321">
        <v>0</v>
      </c>
      <c r="Z81" s="749">
        <v>0</v>
      </c>
      <c r="AA81" s="426" t="str">
        <f t="shared" ref="AA81:AQ81" si="31">IF(D81&gt;0,D81,"—")</f>
        <v>—</v>
      </c>
      <c r="AB81" s="426">
        <f t="shared" si="31"/>
        <v>5.1525961157352362E-3</v>
      </c>
      <c r="AC81" s="426" t="str">
        <f t="shared" si="31"/>
        <v>—</v>
      </c>
      <c r="AD81" s="426">
        <f t="shared" si="31"/>
        <v>1.0180072553504567E-2</v>
      </c>
      <c r="AE81" s="426">
        <f t="shared" si="31"/>
        <v>1.7434072032763041E-2</v>
      </c>
      <c r="AF81" s="426">
        <f t="shared" si="31"/>
        <v>5.3588638037399723E-3</v>
      </c>
      <c r="AG81" s="429">
        <f t="shared" si="31"/>
        <v>1.1688786070863266E-2</v>
      </c>
      <c r="AH81" s="426">
        <f t="shared" si="31"/>
        <v>2.643873948699179E-2</v>
      </c>
      <c r="AI81" s="426">
        <f t="shared" si="31"/>
        <v>1.6372704929882898E-2</v>
      </c>
      <c r="AJ81" s="426">
        <f t="shared" si="31"/>
        <v>4.6914812378554528E-2</v>
      </c>
      <c r="AK81" s="426">
        <f t="shared" si="31"/>
        <v>2.825984975210543E-2</v>
      </c>
      <c r="AL81" s="426" t="str">
        <f t="shared" si="31"/>
        <v>—</v>
      </c>
      <c r="AM81" s="426" t="str">
        <f t="shared" si="31"/>
        <v>—</v>
      </c>
      <c r="AN81" s="426" t="str">
        <f t="shared" si="31"/>
        <v>—</v>
      </c>
      <c r="AO81" s="426" t="str">
        <f t="shared" si="31"/>
        <v>—</v>
      </c>
      <c r="AP81" s="426" t="str">
        <f t="shared" si="31"/>
        <v>—</v>
      </c>
      <c r="AQ81" s="426" t="str">
        <f t="shared" si="31"/>
        <v>—</v>
      </c>
    </row>
    <row r="82" spans="1:43" s="1" customFormat="1">
      <c r="A82" s="322"/>
      <c r="B82" s="32" t="s">
        <v>836</v>
      </c>
      <c r="C82" s="757">
        <v>-6.9364382167219022E-5</v>
      </c>
      <c r="D82" s="2">
        <v>0</v>
      </c>
      <c r="E82" s="2">
        <v>-1.2892573686321112E-3</v>
      </c>
      <c r="F82" s="2">
        <v>0</v>
      </c>
      <c r="G82" s="2">
        <v>-1.0378068607785531E-3</v>
      </c>
      <c r="H82" s="2">
        <v>1.2111493582274632E-3</v>
      </c>
      <c r="I82" s="321">
        <v>-2.3109608919171312E-4</v>
      </c>
      <c r="J82" s="321">
        <v>-2.7923863731677684E-4</v>
      </c>
      <c r="K82" s="2">
        <v>4.1112454042179537E-3</v>
      </c>
      <c r="L82" s="2">
        <v>-4.5098356766119022E-3</v>
      </c>
      <c r="M82" s="2">
        <v>4.4879096142353136E-3</v>
      </c>
      <c r="N82" s="321">
        <v>1.7129064325009137E-3</v>
      </c>
      <c r="O82" s="321">
        <v>0</v>
      </c>
      <c r="P82" s="2">
        <v>0</v>
      </c>
      <c r="Q82" s="2">
        <v>0</v>
      </c>
      <c r="R82" s="321">
        <v>0</v>
      </c>
      <c r="S82" s="321">
        <v>0</v>
      </c>
      <c r="T82" s="321">
        <v>0</v>
      </c>
      <c r="U82" s="321">
        <v>0</v>
      </c>
      <c r="V82" s="634">
        <v>0</v>
      </c>
      <c r="W82" s="321">
        <v>0</v>
      </c>
      <c r="X82" s="634">
        <v>0</v>
      </c>
      <c r="Y82" s="321">
        <v>0</v>
      </c>
      <c r="Z82" s="749">
        <v>0</v>
      </c>
      <c r="AA82" s="640" t="str">
        <f t="shared" ref="AA82:AQ82" si="32">IF(OR((AA78="—"),(AA81="—")),"—",(AA81-AA78))</f>
        <v>—</v>
      </c>
      <c r="AB82" s="640">
        <f t="shared" si="32"/>
        <v>-1.2892573686321112E-3</v>
      </c>
      <c r="AC82" s="640" t="str">
        <f t="shared" si="32"/>
        <v>—</v>
      </c>
      <c r="AD82" s="640">
        <f t="shared" si="32"/>
        <v>-1.0378068607785531E-3</v>
      </c>
      <c r="AE82" s="640">
        <f t="shared" si="32"/>
        <v>1.2111493582274632E-3</v>
      </c>
      <c r="AF82" s="640">
        <f t="shared" si="32"/>
        <v>-2.3109608919171312E-4</v>
      </c>
      <c r="AG82" s="641">
        <f t="shared" si="32"/>
        <v>-2.7923863731677684E-4</v>
      </c>
      <c r="AH82" s="640">
        <f t="shared" si="32"/>
        <v>4.1112454042179537E-3</v>
      </c>
      <c r="AI82" s="640">
        <f t="shared" si="32"/>
        <v>-4.5098356766119022E-3</v>
      </c>
      <c r="AJ82" s="640">
        <f t="shared" si="32"/>
        <v>4.4879096142353136E-3</v>
      </c>
      <c r="AK82" s="640">
        <f t="shared" si="32"/>
        <v>1.7129064325009137E-3</v>
      </c>
      <c r="AL82" s="640" t="str">
        <f t="shared" si="32"/>
        <v>—</v>
      </c>
      <c r="AM82" s="640" t="str">
        <f t="shared" si="32"/>
        <v>—</v>
      </c>
      <c r="AN82" s="640" t="str">
        <f t="shared" si="32"/>
        <v>—</v>
      </c>
      <c r="AO82" s="640" t="str">
        <f t="shared" si="32"/>
        <v>—</v>
      </c>
      <c r="AP82" s="640" t="str">
        <f t="shared" si="32"/>
        <v>—</v>
      </c>
      <c r="AQ82" s="640" t="str">
        <f t="shared" si="32"/>
        <v>—</v>
      </c>
    </row>
    <row r="83" spans="1:43">
      <c r="A83" s="329" t="s">
        <v>759</v>
      </c>
      <c r="B83" s="319" t="s">
        <v>58</v>
      </c>
      <c r="C83" s="323">
        <v>577517</v>
      </c>
      <c r="D83" s="324">
        <v>0</v>
      </c>
      <c r="E83" s="324">
        <v>144635.5</v>
      </c>
      <c r="F83" s="324">
        <v>81587</v>
      </c>
      <c r="G83" s="324">
        <v>433677</v>
      </c>
      <c r="H83" s="324">
        <v>323373.5</v>
      </c>
      <c r="I83" s="323">
        <v>1560790</v>
      </c>
      <c r="J83" s="323">
        <v>0</v>
      </c>
      <c r="K83" s="324">
        <v>877880.48</v>
      </c>
      <c r="L83" s="324">
        <v>941941.85</v>
      </c>
      <c r="M83" s="324">
        <v>207221.99</v>
      </c>
      <c r="N83" s="323">
        <v>2027044.32</v>
      </c>
      <c r="O83" s="323">
        <v>0</v>
      </c>
      <c r="P83" s="324">
        <v>0</v>
      </c>
      <c r="Q83" s="324">
        <v>0</v>
      </c>
      <c r="R83" s="323">
        <v>0</v>
      </c>
      <c r="S83" s="323">
        <v>0</v>
      </c>
      <c r="T83" s="323">
        <v>0</v>
      </c>
      <c r="U83" s="323">
        <v>0</v>
      </c>
      <c r="V83" s="633">
        <v>0</v>
      </c>
      <c r="W83" s="323">
        <v>0</v>
      </c>
      <c r="X83" s="633">
        <v>0</v>
      </c>
      <c r="Y83" s="323">
        <v>0</v>
      </c>
      <c r="Z83" s="748">
        <v>0</v>
      </c>
      <c r="AA83" s="427"/>
      <c r="AB83" s="427"/>
      <c r="AC83" s="427"/>
      <c r="AD83" s="427"/>
      <c r="AE83" s="427"/>
      <c r="AF83" s="427"/>
      <c r="AG83" s="431"/>
      <c r="AH83" s="427"/>
      <c r="AI83" s="427"/>
      <c r="AJ83" s="427"/>
      <c r="AK83" s="427"/>
      <c r="AL83" s="427"/>
      <c r="AM83" s="427"/>
      <c r="AN83" s="427"/>
      <c r="AO83" s="427"/>
      <c r="AP83" s="427"/>
      <c r="AQ83" s="427"/>
    </row>
    <row r="84" spans="1:43" s="1" customFormat="1">
      <c r="A84" s="322"/>
      <c r="B84" s="32" t="s">
        <v>62</v>
      </c>
      <c r="C84" s="321">
        <v>88</v>
      </c>
      <c r="D84" s="2">
        <v>0</v>
      </c>
      <c r="E84" s="2">
        <v>1066</v>
      </c>
      <c r="F84" s="2">
        <v>167</v>
      </c>
      <c r="G84" s="2">
        <v>1005</v>
      </c>
      <c r="H84" s="2">
        <v>2399</v>
      </c>
      <c r="I84" s="321">
        <v>4725</v>
      </c>
      <c r="J84" s="321">
        <v>0</v>
      </c>
      <c r="K84" s="2">
        <v>12486</v>
      </c>
      <c r="L84" s="2">
        <v>30970</v>
      </c>
      <c r="M84" s="2">
        <v>12871</v>
      </c>
      <c r="N84" s="321">
        <v>56327</v>
      </c>
      <c r="O84" s="321">
        <v>0</v>
      </c>
      <c r="P84" s="2">
        <v>0</v>
      </c>
      <c r="Q84" s="2">
        <v>0</v>
      </c>
      <c r="R84" s="321">
        <v>0</v>
      </c>
      <c r="S84" s="321">
        <v>0</v>
      </c>
      <c r="T84" s="321">
        <v>0</v>
      </c>
      <c r="U84" s="321">
        <v>0</v>
      </c>
      <c r="V84" s="634">
        <v>0</v>
      </c>
      <c r="W84" s="321">
        <v>0</v>
      </c>
      <c r="X84" s="634">
        <v>0</v>
      </c>
      <c r="Y84" s="321">
        <v>0</v>
      </c>
      <c r="Z84" s="749">
        <v>0</v>
      </c>
      <c r="AA84" s="108"/>
      <c r="AB84" s="108"/>
      <c r="AC84" s="108"/>
      <c r="AD84" s="108"/>
      <c r="AE84" s="108"/>
      <c r="AF84" s="108"/>
      <c r="AG84" s="430"/>
      <c r="AH84" s="108"/>
      <c r="AI84" s="108"/>
      <c r="AJ84" s="108"/>
      <c r="AK84" s="108"/>
      <c r="AL84" s="108"/>
      <c r="AM84" s="108"/>
      <c r="AN84" s="108"/>
      <c r="AO84" s="108"/>
      <c r="AP84" s="108"/>
      <c r="AQ84" s="108"/>
    </row>
    <row r="85" spans="1:43">
      <c r="A85" s="322"/>
      <c r="B85" s="369" t="s">
        <v>64</v>
      </c>
      <c r="C85" s="321">
        <v>1.5237646683993717E-4</v>
      </c>
      <c r="D85" s="2">
        <v>0</v>
      </c>
      <c r="E85" s="2">
        <v>7.3702514251342164E-3</v>
      </c>
      <c r="F85" s="370">
        <v>2.0468947258754457E-3</v>
      </c>
      <c r="G85" s="2">
        <v>2.3173928984013448E-3</v>
      </c>
      <c r="H85" s="2">
        <v>7.4186660316940007E-3</v>
      </c>
      <c r="I85" s="321">
        <v>3.0273130914472801E-3</v>
      </c>
      <c r="J85" s="321">
        <v>0</v>
      </c>
      <c r="K85" s="2">
        <v>1.4222892847554829E-2</v>
      </c>
      <c r="L85" s="2">
        <v>3.287888737505399E-2</v>
      </c>
      <c r="M85" s="2">
        <v>6.2112133948718479E-2</v>
      </c>
      <c r="N85" s="321">
        <v>2.7787749603817247E-2</v>
      </c>
      <c r="O85" s="321">
        <v>0</v>
      </c>
      <c r="P85" s="2">
        <v>0</v>
      </c>
      <c r="Q85" s="2">
        <v>0</v>
      </c>
      <c r="R85" s="321">
        <v>0</v>
      </c>
      <c r="S85" s="321">
        <v>0</v>
      </c>
      <c r="T85" s="321">
        <v>0</v>
      </c>
      <c r="U85" s="321">
        <v>0</v>
      </c>
      <c r="V85" s="634">
        <v>0</v>
      </c>
      <c r="W85" s="321">
        <v>0</v>
      </c>
      <c r="X85" s="634">
        <v>0</v>
      </c>
      <c r="Y85" s="321">
        <v>0</v>
      </c>
      <c r="Z85" s="749">
        <v>0</v>
      </c>
      <c r="AA85" s="426" t="str">
        <f t="shared" ref="AA85:AQ85" si="33">IF(D85&gt;0,D85,"—")</f>
        <v>—</v>
      </c>
      <c r="AB85" s="426">
        <f t="shared" si="33"/>
        <v>7.3702514251342164E-3</v>
      </c>
      <c r="AC85" s="426">
        <f t="shared" si="33"/>
        <v>2.0468947258754457E-3</v>
      </c>
      <c r="AD85" s="426">
        <f t="shared" si="33"/>
        <v>2.3173928984013448E-3</v>
      </c>
      <c r="AE85" s="426">
        <f t="shared" si="33"/>
        <v>7.4186660316940007E-3</v>
      </c>
      <c r="AF85" s="426">
        <f t="shared" si="33"/>
        <v>3.0273130914472801E-3</v>
      </c>
      <c r="AG85" s="429" t="str">
        <f t="shared" si="33"/>
        <v>—</v>
      </c>
      <c r="AH85" s="426">
        <f t="shared" si="33"/>
        <v>1.4222892847554829E-2</v>
      </c>
      <c r="AI85" s="426">
        <f t="shared" si="33"/>
        <v>3.287888737505399E-2</v>
      </c>
      <c r="AJ85" s="426">
        <f t="shared" si="33"/>
        <v>6.2112133948718479E-2</v>
      </c>
      <c r="AK85" s="426">
        <f t="shared" si="33"/>
        <v>2.7787749603817247E-2</v>
      </c>
      <c r="AL85" s="426" t="str">
        <f t="shared" si="33"/>
        <v>—</v>
      </c>
      <c r="AM85" s="426" t="str">
        <f t="shared" si="33"/>
        <v>—</v>
      </c>
      <c r="AN85" s="426" t="str">
        <f t="shared" si="33"/>
        <v>—</v>
      </c>
      <c r="AO85" s="426" t="str">
        <f t="shared" si="33"/>
        <v>—</v>
      </c>
      <c r="AP85" s="426" t="str">
        <f t="shared" si="33"/>
        <v>—</v>
      </c>
      <c r="AQ85" s="426" t="str">
        <f t="shared" si="33"/>
        <v>—</v>
      </c>
    </row>
    <row r="86" spans="1:43" s="1" customFormat="1">
      <c r="A86" s="322"/>
      <c r="B86" s="32" t="s">
        <v>59</v>
      </c>
      <c r="C86" s="321">
        <v>602301</v>
      </c>
      <c r="D86" s="2">
        <v>0</v>
      </c>
      <c r="E86" s="2">
        <v>433308</v>
      </c>
      <c r="F86" s="2">
        <v>83574</v>
      </c>
      <c r="G86" s="2">
        <v>439761</v>
      </c>
      <c r="H86" s="2">
        <v>342501</v>
      </c>
      <c r="I86" s="321">
        <v>1901445</v>
      </c>
      <c r="J86" s="321">
        <v>0</v>
      </c>
      <c r="K86" s="2">
        <v>971991</v>
      </c>
      <c r="L86" s="2">
        <v>1090511</v>
      </c>
      <c r="M86" s="2">
        <v>224001</v>
      </c>
      <c r="N86" s="321">
        <v>2286503</v>
      </c>
      <c r="O86" s="321">
        <v>0</v>
      </c>
      <c r="P86" s="2">
        <v>0</v>
      </c>
      <c r="Q86" s="2">
        <v>0</v>
      </c>
      <c r="R86" s="321">
        <v>0</v>
      </c>
      <c r="S86" s="321">
        <v>0</v>
      </c>
      <c r="T86" s="321">
        <v>0</v>
      </c>
      <c r="U86" s="321">
        <v>0</v>
      </c>
      <c r="V86" s="634">
        <v>0</v>
      </c>
      <c r="W86" s="321">
        <v>0</v>
      </c>
      <c r="X86" s="634">
        <v>0</v>
      </c>
      <c r="Y86" s="321">
        <v>0</v>
      </c>
      <c r="Z86" s="749">
        <v>0</v>
      </c>
      <c r="AA86" s="108"/>
      <c r="AB86" s="108"/>
      <c r="AC86" s="108"/>
      <c r="AD86" s="108"/>
      <c r="AE86" s="108"/>
      <c r="AF86" s="108"/>
      <c r="AG86" s="430"/>
      <c r="AH86" s="108"/>
      <c r="AI86" s="108"/>
      <c r="AJ86" s="108"/>
      <c r="AK86" s="108"/>
      <c r="AL86" s="108"/>
      <c r="AM86" s="108"/>
      <c r="AN86" s="108"/>
      <c r="AO86" s="108"/>
      <c r="AP86" s="108"/>
      <c r="AQ86" s="108"/>
    </row>
    <row r="87" spans="1:43">
      <c r="A87" s="322"/>
      <c r="B87" s="32" t="s">
        <v>63</v>
      </c>
      <c r="C87" s="321">
        <v>158</v>
      </c>
      <c r="D87" s="2">
        <v>0</v>
      </c>
      <c r="E87" s="2">
        <v>1686</v>
      </c>
      <c r="F87" s="2">
        <v>203</v>
      </c>
      <c r="G87" s="2">
        <v>973</v>
      </c>
      <c r="H87" s="2">
        <v>2433</v>
      </c>
      <c r="I87" s="321">
        <v>5453</v>
      </c>
      <c r="J87" s="321">
        <v>0</v>
      </c>
      <c r="K87" s="2">
        <v>15698</v>
      </c>
      <c r="L87" s="2">
        <v>34978</v>
      </c>
      <c r="M87" s="2">
        <v>12697</v>
      </c>
      <c r="N87" s="321">
        <v>63373</v>
      </c>
      <c r="O87" s="321">
        <v>0</v>
      </c>
      <c r="P87" s="2">
        <v>0</v>
      </c>
      <c r="Q87" s="2">
        <v>0</v>
      </c>
      <c r="R87" s="321">
        <v>0</v>
      </c>
      <c r="S87" s="321">
        <v>0</v>
      </c>
      <c r="T87" s="321">
        <v>0</v>
      </c>
      <c r="U87" s="321">
        <v>0</v>
      </c>
      <c r="V87" s="634">
        <v>0</v>
      </c>
      <c r="W87" s="321">
        <v>0</v>
      </c>
      <c r="X87" s="634">
        <v>0</v>
      </c>
      <c r="Y87" s="321">
        <v>0</v>
      </c>
      <c r="Z87" s="749">
        <v>0</v>
      </c>
      <c r="AA87" s="427"/>
      <c r="AB87" s="427"/>
      <c r="AC87" s="427"/>
      <c r="AD87" s="427"/>
      <c r="AE87" s="427"/>
      <c r="AF87" s="427"/>
      <c r="AG87" s="431"/>
      <c r="AH87" s="427"/>
      <c r="AI87" s="427"/>
      <c r="AJ87" s="427"/>
      <c r="AK87" s="427"/>
      <c r="AL87" s="427"/>
      <c r="AM87" s="427"/>
      <c r="AN87" s="427"/>
      <c r="AO87" s="427"/>
      <c r="AP87" s="427"/>
      <c r="AQ87" s="427"/>
    </row>
    <row r="88" spans="1:43" s="1" customFormat="1">
      <c r="A88" s="322"/>
      <c r="B88" s="369" t="s">
        <v>67</v>
      </c>
      <c r="C88" s="321">
        <v>2.6232730810674397E-4</v>
      </c>
      <c r="D88" s="2">
        <v>0</v>
      </c>
      <c r="E88" s="2">
        <v>3.8909967044227201E-3</v>
      </c>
      <c r="F88" s="370">
        <v>2.4289850910570272E-3</v>
      </c>
      <c r="G88" s="2">
        <v>2.2125654616939657E-3</v>
      </c>
      <c r="H88" s="2">
        <v>7.103628894514177E-3</v>
      </c>
      <c r="I88" s="321">
        <v>2.8678189482209582E-3</v>
      </c>
      <c r="J88" s="321">
        <v>0</v>
      </c>
      <c r="K88" s="2">
        <v>1.6150355301643739E-2</v>
      </c>
      <c r="L88" s="2">
        <v>3.207487132179318E-2</v>
      </c>
      <c r="M88" s="2">
        <v>5.6682782666148811E-2</v>
      </c>
      <c r="N88" s="321">
        <v>2.771612370506402E-2</v>
      </c>
      <c r="O88" s="321">
        <v>0</v>
      </c>
      <c r="P88" s="2">
        <v>0</v>
      </c>
      <c r="Q88" s="2">
        <v>0</v>
      </c>
      <c r="R88" s="321">
        <v>0</v>
      </c>
      <c r="S88" s="321">
        <v>0</v>
      </c>
      <c r="T88" s="321">
        <v>0</v>
      </c>
      <c r="U88" s="321">
        <v>0</v>
      </c>
      <c r="V88" s="634">
        <v>0</v>
      </c>
      <c r="W88" s="321">
        <v>0</v>
      </c>
      <c r="X88" s="634">
        <v>0</v>
      </c>
      <c r="Y88" s="321">
        <v>0</v>
      </c>
      <c r="Z88" s="749">
        <v>0</v>
      </c>
      <c r="AA88" s="426" t="str">
        <f t="shared" ref="AA88:AQ88" si="34">IF(D88&gt;0,D88,"—")</f>
        <v>—</v>
      </c>
      <c r="AB88" s="426">
        <f t="shared" si="34"/>
        <v>3.8909967044227201E-3</v>
      </c>
      <c r="AC88" s="426">
        <f t="shared" si="34"/>
        <v>2.4289850910570272E-3</v>
      </c>
      <c r="AD88" s="426">
        <f t="shared" si="34"/>
        <v>2.2125654616939657E-3</v>
      </c>
      <c r="AE88" s="426">
        <f t="shared" si="34"/>
        <v>7.103628894514177E-3</v>
      </c>
      <c r="AF88" s="426">
        <f t="shared" si="34"/>
        <v>2.8678189482209582E-3</v>
      </c>
      <c r="AG88" s="429" t="str">
        <f t="shared" si="34"/>
        <v>—</v>
      </c>
      <c r="AH88" s="426">
        <f t="shared" si="34"/>
        <v>1.6150355301643739E-2</v>
      </c>
      <c r="AI88" s="426">
        <f t="shared" si="34"/>
        <v>3.207487132179318E-2</v>
      </c>
      <c r="AJ88" s="426">
        <f t="shared" si="34"/>
        <v>5.6682782666148811E-2</v>
      </c>
      <c r="AK88" s="426">
        <f t="shared" si="34"/>
        <v>2.771612370506402E-2</v>
      </c>
      <c r="AL88" s="426" t="str">
        <f t="shared" si="34"/>
        <v>—</v>
      </c>
      <c r="AM88" s="426" t="str">
        <f t="shared" si="34"/>
        <v>—</v>
      </c>
      <c r="AN88" s="426" t="str">
        <f t="shared" si="34"/>
        <v>—</v>
      </c>
      <c r="AO88" s="426" t="str">
        <f t="shared" si="34"/>
        <v>—</v>
      </c>
      <c r="AP88" s="426" t="str">
        <f t="shared" si="34"/>
        <v>—</v>
      </c>
      <c r="AQ88" s="426" t="str">
        <f t="shared" si="34"/>
        <v>—</v>
      </c>
    </row>
    <row r="89" spans="1:43">
      <c r="A89" s="322"/>
      <c r="B89" s="32" t="s">
        <v>836</v>
      </c>
      <c r="C89" s="757">
        <v>1.099508412668068E-4</v>
      </c>
      <c r="D89" s="2">
        <v>0</v>
      </c>
      <c r="E89" s="2">
        <v>-3.4792547207114963E-3</v>
      </c>
      <c r="F89" s="2">
        <v>3.8209036518158145E-4</v>
      </c>
      <c r="G89" s="2">
        <v>-1.0482743670737907E-4</v>
      </c>
      <c r="H89" s="2">
        <v>-3.1503713717982371E-4</v>
      </c>
      <c r="I89" s="321">
        <v>-1.594941432263219E-4</v>
      </c>
      <c r="J89" s="321">
        <v>0</v>
      </c>
      <c r="K89" s="2">
        <v>1.9274624540889101E-3</v>
      </c>
      <c r="L89" s="2">
        <v>-8.040160532608101E-4</v>
      </c>
      <c r="M89" s="2">
        <v>-5.429351282569668E-3</v>
      </c>
      <c r="N89" s="321">
        <v>-7.1625898753226863E-5</v>
      </c>
      <c r="O89" s="321">
        <v>0</v>
      </c>
      <c r="P89" s="2">
        <v>0</v>
      </c>
      <c r="Q89" s="2">
        <v>0</v>
      </c>
      <c r="R89" s="321">
        <v>0</v>
      </c>
      <c r="S89" s="321">
        <v>0</v>
      </c>
      <c r="T89" s="321">
        <v>0</v>
      </c>
      <c r="U89" s="321">
        <v>0</v>
      </c>
      <c r="V89" s="634">
        <v>0</v>
      </c>
      <c r="W89" s="321">
        <v>0</v>
      </c>
      <c r="X89" s="634">
        <v>0</v>
      </c>
      <c r="Y89" s="321">
        <v>0</v>
      </c>
      <c r="Z89" s="749">
        <v>0</v>
      </c>
      <c r="AA89" s="640" t="str">
        <f t="shared" ref="AA89:AQ89" si="35">IF(OR((AA85="—"),(AA88="—")),"—",(AA88-AA85))</f>
        <v>—</v>
      </c>
      <c r="AB89" s="640">
        <f t="shared" si="35"/>
        <v>-3.4792547207114963E-3</v>
      </c>
      <c r="AC89" s="640">
        <f t="shared" si="35"/>
        <v>3.8209036518158145E-4</v>
      </c>
      <c r="AD89" s="640">
        <f t="shared" si="35"/>
        <v>-1.0482743670737907E-4</v>
      </c>
      <c r="AE89" s="640">
        <f t="shared" si="35"/>
        <v>-3.1503713717982371E-4</v>
      </c>
      <c r="AF89" s="640">
        <f t="shared" si="35"/>
        <v>-1.594941432263219E-4</v>
      </c>
      <c r="AG89" s="641" t="str">
        <f t="shared" si="35"/>
        <v>—</v>
      </c>
      <c r="AH89" s="640">
        <f t="shared" si="35"/>
        <v>1.9274624540889101E-3</v>
      </c>
      <c r="AI89" s="640">
        <f t="shared" si="35"/>
        <v>-8.040160532608101E-4</v>
      </c>
      <c r="AJ89" s="640">
        <f t="shared" si="35"/>
        <v>-5.429351282569668E-3</v>
      </c>
      <c r="AK89" s="640">
        <f t="shared" si="35"/>
        <v>-7.1625898753226863E-5</v>
      </c>
      <c r="AL89" s="640" t="str">
        <f t="shared" si="35"/>
        <v>—</v>
      </c>
      <c r="AM89" s="640" t="str">
        <f t="shared" si="35"/>
        <v>—</v>
      </c>
      <c r="AN89" s="640" t="str">
        <f t="shared" si="35"/>
        <v>—</v>
      </c>
      <c r="AO89" s="640" t="str">
        <f t="shared" si="35"/>
        <v>—</v>
      </c>
      <c r="AP89" s="640" t="str">
        <f t="shared" si="35"/>
        <v>—</v>
      </c>
      <c r="AQ89" s="640" t="str">
        <f t="shared" si="35"/>
        <v>—</v>
      </c>
    </row>
    <row r="90" spans="1:43" s="1" customFormat="1">
      <c r="A90" s="329" t="s">
        <v>227</v>
      </c>
      <c r="B90" s="319" t="s">
        <v>58</v>
      </c>
      <c r="C90" s="323">
        <v>1022049</v>
      </c>
      <c r="D90" s="324">
        <v>0</v>
      </c>
      <c r="E90" s="324">
        <v>1500352</v>
      </c>
      <c r="F90" s="324">
        <v>217042</v>
      </c>
      <c r="G90" s="324">
        <v>184664</v>
      </c>
      <c r="H90" s="324">
        <v>0</v>
      </c>
      <c r="I90" s="323">
        <v>2924107</v>
      </c>
      <c r="J90" s="323">
        <v>0</v>
      </c>
      <c r="K90" s="324">
        <v>577619</v>
      </c>
      <c r="L90" s="324">
        <v>976795</v>
      </c>
      <c r="M90" s="324">
        <v>51542</v>
      </c>
      <c r="N90" s="323">
        <v>1605956</v>
      </c>
      <c r="O90" s="323">
        <v>0</v>
      </c>
      <c r="P90" s="324">
        <v>0</v>
      </c>
      <c r="Q90" s="324">
        <v>0</v>
      </c>
      <c r="R90" s="323">
        <v>0</v>
      </c>
      <c r="S90" s="323">
        <v>0</v>
      </c>
      <c r="T90" s="323">
        <v>0</v>
      </c>
      <c r="U90" s="323">
        <v>0</v>
      </c>
      <c r="V90" s="633">
        <v>0</v>
      </c>
      <c r="W90" s="323">
        <v>0</v>
      </c>
      <c r="X90" s="633">
        <v>0</v>
      </c>
      <c r="Y90" s="323">
        <v>0</v>
      </c>
      <c r="Z90" s="748">
        <v>0</v>
      </c>
      <c r="AA90" s="108"/>
      <c r="AB90" s="108"/>
      <c r="AC90" s="108"/>
      <c r="AD90" s="108"/>
      <c r="AE90" s="108"/>
      <c r="AF90" s="108"/>
      <c r="AG90" s="430"/>
      <c r="AH90" s="108"/>
      <c r="AI90" s="108"/>
      <c r="AJ90" s="108"/>
      <c r="AK90" s="108"/>
      <c r="AL90" s="108"/>
      <c r="AM90" s="108"/>
      <c r="AN90" s="108"/>
      <c r="AO90" s="108"/>
      <c r="AP90" s="108"/>
      <c r="AQ90" s="108"/>
    </row>
    <row r="91" spans="1:43">
      <c r="A91" s="322"/>
      <c r="B91" s="32" t="s">
        <v>62</v>
      </c>
      <c r="C91" s="321">
        <v>3000</v>
      </c>
      <c r="D91" s="2">
        <v>0</v>
      </c>
      <c r="E91" s="2">
        <v>3505</v>
      </c>
      <c r="F91" s="2">
        <v>975</v>
      </c>
      <c r="G91" s="2">
        <v>6044</v>
      </c>
      <c r="H91" s="2">
        <v>0</v>
      </c>
      <c r="I91" s="321">
        <v>13524</v>
      </c>
      <c r="J91" s="321">
        <v>0</v>
      </c>
      <c r="K91" s="2">
        <v>15191</v>
      </c>
      <c r="L91" s="2">
        <v>36823</v>
      </c>
      <c r="M91" s="2">
        <v>3629</v>
      </c>
      <c r="N91" s="321">
        <v>55643</v>
      </c>
      <c r="O91" s="321">
        <v>0</v>
      </c>
      <c r="P91" s="2">
        <v>0</v>
      </c>
      <c r="Q91" s="2">
        <v>0</v>
      </c>
      <c r="R91" s="321">
        <v>0</v>
      </c>
      <c r="S91" s="321">
        <v>0</v>
      </c>
      <c r="T91" s="321">
        <v>0</v>
      </c>
      <c r="U91" s="321">
        <v>0</v>
      </c>
      <c r="V91" s="634">
        <v>0</v>
      </c>
      <c r="W91" s="321">
        <v>0</v>
      </c>
      <c r="X91" s="634">
        <v>0</v>
      </c>
      <c r="Y91" s="321">
        <v>0</v>
      </c>
      <c r="Z91" s="749">
        <v>0</v>
      </c>
      <c r="AA91" s="427"/>
      <c r="AB91" s="427"/>
      <c r="AC91" s="427"/>
      <c r="AD91" s="427"/>
      <c r="AE91" s="427"/>
      <c r="AF91" s="427"/>
      <c r="AG91" s="431"/>
      <c r="AH91" s="427"/>
      <c r="AI91" s="427"/>
      <c r="AJ91" s="427"/>
      <c r="AK91" s="427"/>
      <c r="AL91" s="427"/>
      <c r="AM91" s="427"/>
      <c r="AN91" s="427"/>
      <c r="AO91" s="427"/>
      <c r="AP91" s="427"/>
      <c r="AQ91" s="427"/>
    </row>
    <row r="92" spans="1:43" s="1" customFormat="1">
      <c r="A92" s="322"/>
      <c r="B92" s="369" t="s">
        <v>64</v>
      </c>
      <c r="C92" s="321">
        <v>2.9352800110366527E-3</v>
      </c>
      <c r="D92" s="2">
        <v>0</v>
      </c>
      <c r="E92" s="2">
        <v>2.3361184575352986E-3</v>
      </c>
      <c r="F92" s="370">
        <v>4.4922180960367116E-3</v>
      </c>
      <c r="G92" s="2">
        <v>3.272971450851276E-2</v>
      </c>
      <c r="H92" s="2">
        <v>0</v>
      </c>
      <c r="I92" s="321">
        <v>4.6250017526718416E-3</v>
      </c>
      <c r="J92" s="321">
        <v>0</v>
      </c>
      <c r="K92" s="2">
        <v>2.6299342646277216E-2</v>
      </c>
      <c r="L92" s="2">
        <v>3.7697776913272488E-2</v>
      </c>
      <c r="M92" s="2">
        <v>7.0408598812618836E-2</v>
      </c>
      <c r="N92" s="321">
        <v>3.4647898198954391E-2</v>
      </c>
      <c r="O92" s="321">
        <v>0</v>
      </c>
      <c r="P92" s="2">
        <v>0</v>
      </c>
      <c r="Q92" s="2">
        <v>0</v>
      </c>
      <c r="R92" s="321">
        <v>0</v>
      </c>
      <c r="S92" s="321">
        <v>0</v>
      </c>
      <c r="T92" s="321">
        <v>0</v>
      </c>
      <c r="U92" s="321">
        <v>0</v>
      </c>
      <c r="V92" s="634">
        <v>0</v>
      </c>
      <c r="W92" s="321">
        <v>0</v>
      </c>
      <c r="X92" s="634">
        <v>0</v>
      </c>
      <c r="Y92" s="321">
        <v>0</v>
      </c>
      <c r="Z92" s="749">
        <v>0</v>
      </c>
      <c r="AA92" s="426" t="str">
        <f t="shared" ref="AA92:AQ92" si="36">IF(D92&gt;0,D92,"—")</f>
        <v>—</v>
      </c>
      <c r="AB92" s="426">
        <f t="shared" si="36"/>
        <v>2.3361184575352986E-3</v>
      </c>
      <c r="AC92" s="426">
        <f t="shared" si="36"/>
        <v>4.4922180960367116E-3</v>
      </c>
      <c r="AD92" s="426">
        <f t="shared" si="36"/>
        <v>3.272971450851276E-2</v>
      </c>
      <c r="AE92" s="426" t="str">
        <f t="shared" si="36"/>
        <v>—</v>
      </c>
      <c r="AF92" s="426">
        <f t="shared" si="36"/>
        <v>4.6250017526718416E-3</v>
      </c>
      <c r="AG92" s="429" t="str">
        <f t="shared" si="36"/>
        <v>—</v>
      </c>
      <c r="AH92" s="426">
        <f t="shared" si="36"/>
        <v>2.6299342646277216E-2</v>
      </c>
      <c r="AI92" s="426">
        <f t="shared" si="36"/>
        <v>3.7697776913272488E-2</v>
      </c>
      <c r="AJ92" s="426">
        <f t="shared" si="36"/>
        <v>7.0408598812618836E-2</v>
      </c>
      <c r="AK92" s="426">
        <f t="shared" si="36"/>
        <v>3.4647898198954391E-2</v>
      </c>
      <c r="AL92" s="426" t="str">
        <f t="shared" si="36"/>
        <v>—</v>
      </c>
      <c r="AM92" s="426" t="str">
        <f t="shared" si="36"/>
        <v>—</v>
      </c>
      <c r="AN92" s="426" t="str">
        <f t="shared" si="36"/>
        <v>—</v>
      </c>
      <c r="AO92" s="426" t="str">
        <f t="shared" si="36"/>
        <v>—</v>
      </c>
      <c r="AP92" s="426" t="str">
        <f t="shared" si="36"/>
        <v>—</v>
      </c>
      <c r="AQ92" s="426" t="str">
        <f t="shared" si="36"/>
        <v>—</v>
      </c>
    </row>
    <row r="93" spans="1:43">
      <c r="A93" s="322"/>
      <c r="B93" s="32" t="s">
        <v>59</v>
      </c>
      <c r="C93" s="321">
        <v>1030515</v>
      </c>
      <c r="D93" s="2">
        <v>0</v>
      </c>
      <c r="E93" s="2">
        <v>1556137</v>
      </c>
      <c r="F93" s="2">
        <v>222816</v>
      </c>
      <c r="G93" s="2">
        <v>193747</v>
      </c>
      <c r="H93" s="2">
        <v>0</v>
      </c>
      <c r="I93" s="321">
        <v>3003215</v>
      </c>
      <c r="J93" s="321">
        <v>0</v>
      </c>
      <c r="K93" s="2">
        <v>653285</v>
      </c>
      <c r="L93" s="2">
        <v>1103557</v>
      </c>
      <c r="M93" s="2">
        <v>61785</v>
      </c>
      <c r="N93" s="321">
        <v>1818627</v>
      </c>
      <c r="O93" s="321">
        <v>0</v>
      </c>
      <c r="P93" s="2">
        <v>0</v>
      </c>
      <c r="Q93" s="2">
        <v>0</v>
      </c>
      <c r="R93" s="321">
        <v>0</v>
      </c>
      <c r="S93" s="321">
        <v>0</v>
      </c>
      <c r="T93" s="321">
        <v>0</v>
      </c>
      <c r="U93" s="321">
        <v>0</v>
      </c>
      <c r="V93" s="634">
        <v>0</v>
      </c>
      <c r="W93" s="321">
        <v>0</v>
      </c>
      <c r="X93" s="634">
        <v>0</v>
      </c>
      <c r="Y93" s="321">
        <v>0</v>
      </c>
      <c r="Z93" s="749">
        <v>0</v>
      </c>
      <c r="AA93" s="108"/>
      <c r="AB93" s="108"/>
      <c r="AC93" s="108"/>
      <c r="AD93" s="108"/>
      <c r="AE93" s="108"/>
      <c r="AF93" s="108"/>
      <c r="AG93" s="430"/>
      <c r="AH93" s="108"/>
      <c r="AI93" s="108"/>
      <c r="AJ93" s="108"/>
      <c r="AK93" s="108"/>
      <c r="AL93" s="108"/>
      <c r="AM93" s="108"/>
      <c r="AN93" s="108"/>
      <c r="AO93" s="108"/>
      <c r="AP93" s="108"/>
      <c r="AQ93" s="108"/>
    </row>
    <row r="94" spans="1:43" s="1" customFormat="1">
      <c r="A94" s="322"/>
      <c r="B94" s="32" t="s">
        <v>63</v>
      </c>
      <c r="C94" s="321">
        <v>3060</v>
      </c>
      <c r="D94" s="2">
        <v>0</v>
      </c>
      <c r="E94" s="2">
        <v>4329</v>
      </c>
      <c r="F94" s="2">
        <v>1469</v>
      </c>
      <c r="G94" s="2">
        <v>6613</v>
      </c>
      <c r="H94" s="2">
        <v>0</v>
      </c>
      <c r="I94" s="321">
        <v>15471</v>
      </c>
      <c r="J94" s="321">
        <v>0</v>
      </c>
      <c r="K94" s="2">
        <v>16823</v>
      </c>
      <c r="L94" s="2">
        <v>45190</v>
      </c>
      <c r="M94" s="2">
        <v>3794</v>
      </c>
      <c r="N94" s="321">
        <v>65807</v>
      </c>
      <c r="O94" s="321">
        <v>0</v>
      </c>
      <c r="P94" s="2">
        <v>0</v>
      </c>
      <c r="Q94" s="2">
        <v>0</v>
      </c>
      <c r="R94" s="321">
        <v>0</v>
      </c>
      <c r="S94" s="321">
        <v>0</v>
      </c>
      <c r="T94" s="321">
        <v>0</v>
      </c>
      <c r="U94" s="321">
        <v>0</v>
      </c>
      <c r="V94" s="634">
        <v>0</v>
      </c>
      <c r="W94" s="321">
        <v>0</v>
      </c>
      <c r="X94" s="634">
        <v>0</v>
      </c>
      <c r="Y94" s="321">
        <v>0</v>
      </c>
      <c r="Z94" s="749">
        <v>0</v>
      </c>
      <c r="AA94" s="427"/>
      <c r="AB94" s="427"/>
      <c r="AC94" s="427"/>
      <c r="AD94" s="427"/>
      <c r="AE94" s="427"/>
      <c r="AF94" s="427"/>
      <c r="AG94" s="431"/>
      <c r="AH94" s="427"/>
      <c r="AI94" s="427"/>
      <c r="AJ94" s="427"/>
      <c r="AK94" s="427"/>
      <c r="AL94" s="427"/>
      <c r="AM94" s="427"/>
      <c r="AN94" s="427"/>
      <c r="AO94" s="427"/>
      <c r="AP94" s="427"/>
      <c r="AQ94" s="427"/>
    </row>
    <row r="95" spans="1:43">
      <c r="A95" s="322"/>
      <c r="B95" s="369" t="s">
        <v>67</v>
      </c>
      <c r="C95" s="321">
        <v>2.9693890918618361E-3</v>
      </c>
      <c r="D95" s="2">
        <v>0</v>
      </c>
      <c r="E95" s="2">
        <v>2.7818887411583944E-3</v>
      </c>
      <c r="F95" s="370">
        <v>6.5928838144477956E-3</v>
      </c>
      <c r="G95" s="2">
        <v>3.413214140089911E-2</v>
      </c>
      <c r="H95" s="2">
        <v>0</v>
      </c>
      <c r="I95" s="321">
        <v>5.1514793313166057E-3</v>
      </c>
      <c r="J95" s="321">
        <v>0</v>
      </c>
      <c r="K95" s="2">
        <v>2.5751394873600342E-2</v>
      </c>
      <c r="L95" s="2">
        <v>4.0949402704164806E-2</v>
      </c>
      <c r="M95" s="2">
        <v>6.1406490248442178E-2</v>
      </c>
      <c r="N95" s="321">
        <v>3.6184990105172746E-2</v>
      </c>
      <c r="O95" s="321">
        <v>0</v>
      </c>
      <c r="P95" s="2">
        <v>0</v>
      </c>
      <c r="Q95" s="2">
        <v>0</v>
      </c>
      <c r="R95" s="321">
        <v>0</v>
      </c>
      <c r="S95" s="321">
        <v>0</v>
      </c>
      <c r="T95" s="321">
        <v>0</v>
      </c>
      <c r="U95" s="321">
        <v>0</v>
      </c>
      <c r="V95" s="634">
        <v>0</v>
      </c>
      <c r="W95" s="321">
        <v>0</v>
      </c>
      <c r="X95" s="634">
        <v>0</v>
      </c>
      <c r="Y95" s="321">
        <v>0</v>
      </c>
      <c r="Z95" s="749">
        <v>0</v>
      </c>
      <c r="AA95" s="426" t="str">
        <f t="shared" ref="AA95:AQ95" si="37">IF(D95&gt;0,D95,"—")</f>
        <v>—</v>
      </c>
      <c r="AB95" s="426">
        <f t="shared" si="37"/>
        <v>2.7818887411583944E-3</v>
      </c>
      <c r="AC95" s="426">
        <f t="shared" si="37"/>
        <v>6.5928838144477956E-3</v>
      </c>
      <c r="AD95" s="426">
        <f t="shared" si="37"/>
        <v>3.413214140089911E-2</v>
      </c>
      <c r="AE95" s="426" t="str">
        <f t="shared" si="37"/>
        <v>—</v>
      </c>
      <c r="AF95" s="426">
        <f t="shared" si="37"/>
        <v>5.1514793313166057E-3</v>
      </c>
      <c r="AG95" s="429" t="str">
        <f t="shared" si="37"/>
        <v>—</v>
      </c>
      <c r="AH95" s="426">
        <f t="shared" si="37"/>
        <v>2.5751394873600342E-2</v>
      </c>
      <c r="AI95" s="426">
        <f t="shared" si="37"/>
        <v>4.0949402704164806E-2</v>
      </c>
      <c r="AJ95" s="426">
        <f t="shared" si="37"/>
        <v>6.1406490248442178E-2</v>
      </c>
      <c r="AK95" s="426">
        <f t="shared" si="37"/>
        <v>3.6184990105172746E-2</v>
      </c>
      <c r="AL95" s="426" t="str">
        <f t="shared" si="37"/>
        <v>—</v>
      </c>
      <c r="AM95" s="426" t="str">
        <f t="shared" si="37"/>
        <v>—</v>
      </c>
      <c r="AN95" s="426" t="str">
        <f t="shared" si="37"/>
        <v>—</v>
      </c>
      <c r="AO95" s="426" t="str">
        <f t="shared" si="37"/>
        <v>—</v>
      </c>
      <c r="AP95" s="426" t="str">
        <f t="shared" si="37"/>
        <v>—</v>
      </c>
      <c r="AQ95" s="426" t="str">
        <f t="shared" si="37"/>
        <v>—</v>
      </c>
    </row>
    <row r="96" spans="1:43" s="1" customFormat="1">
      <c r="A96" s="322"/>
      <c r="B96" s="32" t="s">
        <v>836</v>
      </c>
      <c r="C96" s="757">
        <v>3.4109080825183401E-5</v>
      </c>
      <c r="D96" s="2">
        <v>0</v>
      </c>
      <c r="E96" s="2">
        <v>4.4577028362309578E-4</v>
      </c>
      <c r="F96" s="2">
        <v>2.1006657184110839E-3</v>
      </c>
      <c r="G96" s="2">
        <v>1.4024268923863506E-3</v>
      </c>
      <c r="H96" s="2">
        <v>0</v>
      </c>
      <c r="I96" s="321">
        <v>5.2647757864476407E-4</v>
      </c>
      <c r="J96" s="321">
        <v>0</v>
      </c>
      <c r="K96" s="2">
        <v>-5.4794777267687389E-4</v>
      </c>
      <c r="L96" s="2">
        <v>3.251625790892318E-3</v>
      </c>
      <c r="M96" s="2">
        <v>-9.0021085641766585E-3</v>
      </c>
      <c r="N96" s="321">
        <v>1.5370919062183547E-3</v>
      </c>
      <c r="O96" s="321">
        <v>0</v>
      </c>
      <c r="P96" s="2">
        <v>0</v>
      </c>
      <c r="Q96" s="2">
        <v>0</v>
      </c>
      <c r="R96" s="321">
        <v>0</v>
      </c>
      <c r="S96" s="321">
        <v>0</v>
      </c>
      <c r="T96" s="321">
        <v>0</v>
      </c>
      <c r="U96" s="321">
        <v>0</v>
      </c>
      <c r="V96" s="634">
        <v>0</v>
      </c>
      <c r="W96" s="321">
        <v>0</v>
      </c>
      <c r="X96" s="634">
        <v>0</v>
      </c>
      <c r="Y96" s="321">
        <v>0</v>
      </c>
      <c r="Z96" s="749">
        <v>0</v>
      </c>
      <c r="AA96" s="640" t="str">
        <f t="shared" ref="AA96:AQ96" si="38">IF(OR((AA92="—"),(AA95="—")),"—",(AA95-AA92))</f>
        <v>—</v>
      </c>
      <c r="AB96" s="640">
        <f t="shared" si="38"/>
        <v>4.4577028362309578E-4</v>
      </c>
      <c r="AC96" s="640">
        <f t="shared" si="38"/>
        <v>2.1006657184110839E-3</v>
      </c>
      <c r="AD96" s="640">
        <f t="shared" si="38"/>
        <v>1.4024268923863506E-3</v>
      </c>
      <c r="AE96" s="640" t="str">
        <f t="shared" si="38"/>
        <v>—</v>
      </c>
      <c r="AF96" s="640">
        <f t="shared" si="38"/>
        <v>5.2647757864476407E-4</v>
      </c>
      <c r="AG96" s="641" t="str">
        <f t="shared" si="38"/>
        <v>—</v>
      </c>
      <c r="AH96" s="640">
        <f t="shared" si="38"/>
        <v>-5.4794777267687389E-4</v>
      </c>
      <c r="AI96" s="640">
        <f t="shared" si="38"/>
        <v>3.251625790892318E-3</v>
      </c>
      <c r="AJ96" s="640">
        <f t="shared" si="38"/>
        <v>-9.0021085641766585E-3</v>
      </c>
      <c r="AK96" s="640">
        <f t="shared" si="38"/>
        <v>1.5370919062183547E-3</v>
      </c>
      <c r="AL96" s="640" t="str">
        <f t="shared" si="38"/>
        <v>—</v>
      </c>
      <c r="AM96" s="640" t="str">
        <f t="shared" si="38"/>
        <v>—</v>
      </c>
      <c r="AN96" s="640" t="str">
        <f t="shared" si="38"/>
        <v>—</v>
      </c>
      <c r="AO96" s="640" t="str">
        <f t="shared" si="38"/>
        <v>—</v>
      </c>
      <c r="AP96" s="640" t="str">
        <f t="shared" si="38"/>
        <v>—</v>
      </c>
      <c r="AQ96" s="640" t="str">
        <f t="shared" si="38"/>
        <v>—</v>
      </c>
    </row>
    <row r="97" spans="1:43">
      <c r="A97" s="329" t="s">
        <v>279</v>
      </c>
      <c r="B97" s="319" t="s">
        <v>58</v>
      </c>
      <c r="C97" s="323">
        <v>4866655</v>
      </c>
      <c r="D97" s="324">
        <v>1203233</v>
      </c>
      <c r="E97" s="324">
        <v>3777636</v>
      </c>
      <c r="F97" s="324">
        <v>213234</v>
      </c>
      <c r="G97" s="324">
        <v>270911</v>
      </c>
      <c r="H97" s="324">
        <v>44481</v>
      </c>
      <c r="I97" s="323">
        <v>10376150</v>
      </c>
      <c r="J97" s="323">
        <v>569202</v>
      </c>
      <c r="K97" s="324">
        <v>8397758</v>
      </c>
      <c r="L97" s="324">
        <v>2592628</v>
      </c>
      <c r="M97" s="324">
        <v>403090</v>
      </c>
      <c r="N97" s="323">
        <v>11962678</v>
      </c>
      <c r="O97" s="323">
        <v>0</v>
      </c>
      <c r="P97" s="324">
        <v>0</v>
      </c>
      <c r="Q97" s="324">
        <v>0</v>
      </c>
      <c r="R97" s="323">
        <v>0</v>
      </c>
      <c r="S97" s="323">
        <v>0</v>
      </c>
      <c r="T97" s="323">
        <v>0</v>
      </c>
      <c r="U97" s="323">
        <v>1831774</v>
      </c>
      <c r="V97" s="633">
        <v>1831774</v>
      </c>
      <c r="W97" s="323">
        <v>395274</v>
      </c>
      <c r="X97" s="633">
        <v>395274</v>
      </c>
      <c r="Y97" s="323">
        <v>0</v>
      </c>
      <c r="Z97" s="748">
        <v>0</v>
      </c>
      <c r="AA97" s="427"/>
      <c r="AB97" s="427"/>
      <c r="AC97" s="427"/>
      <c r="AD97" s="427"/>
      <c r="AE97" s="427"/>
      <c r="AF97" s="427"/>
      <c r="AG97" s="431"/>
      <c r="AH97" s="427"/>
      <c r="AI97" s="427"/>
      <c r="AJ97" s="427"/>
      <c r="AK97" s="427"/>
      <c r="AL97" s="427"/>
      <c r="AM97" s="427"/>
      <c r="AN97" s="427"/>
      <c r="AO97" s="427"/>
      <c r="AP97" s="427"/>
      <c r="AQ97" s="427"/>
    </row>
    <row r="98" spans="1:43" s="1" customFormat="1">
      <c r="A98" s="322"/>
      <c r="B98" s="32" t="s">
        <v>62</v>
      </c>
      <c r="C98" s="321">
        <v>453</v>
      </c>
      <c r="D98" s="2">
        <v>5888</v>
      </c>
      <c r="E98" s="2">
        <v>11013</v>
      </c>
      <c r="F98" s="2">
        <v>8134</v>
      </c>
      <c r="G98" s="2">
        <v>147</v>
      </c>
      <c r="H98" s="2">
        <v>0</v>
      </c>
      <c r="I98" s="321">
        <v>25635</v>
      </c>
      <c r="J98" s="321">
        <v>89276</v>
      </c>
      <c r="K98" s="2">
        <v>459360</v>
      </c>
      <c r="L98" s="2">
        <v>187123</v>
      </c>
      <c r="M98" s="2">
        <v>31914</v>
      </c>
      <c r="N98" s="321">
        <v>767673</v>
      </c>
      <c r="O98" s="321">
        <v>0</v>
      </c>
      <c r="P98" s="2">
        <v>0</v>
      </c>
      <c r="Q98" s="2">
        <v>0</v>
      </c>
      <c r="R98" s="321">
        <v>0</v>
      </c>
      <c r="S98" s="321">
        <v>0</v>
      </c>
      <c r="T98" s="321">
        <v>0</v>
      </c>
      <c r="U98" s="321">
        <v>107344</v>
      </c>
      <c r="V98" s="634">
        <v>107344</v>
      </c>
      <c r="W98" s="321">
        <v>29313</v>
      </c>
      <c r="X98" s="634">
        <v>29313</v>
      </c>
      <c r="Y98" s="321">
        <v>0</v>
      </c>
      <c r="Z98" s="749">
        <v>0</v>
      </c>
      <c r="AA98" s="108"/>
      <c r="AB98" s="108"/>
      <c r="AC98" s="108"/>
      <c r="AD98" s="108"/>
      <c r="AE98" s="108"/>
      <c r="AF98" s="108"/>
      <c r="AG98" s="430"/>
      <c r="AH98" s="108"/>
      <c r="AI98" s="108"/>
      <c r="AJ98" s="108"/>
      <c r="AK98" s="108"/>
      <c r="AL98" s="108"/>
      <c r="AM98" s="108"/>
      <c r="AN98" s="108"/>
      <c r="AO98" s="108"/>
      <c r="AP98" s="108"/>
      <c r="AQ98" s="108"/>
    </row>
    <row r="99" spans="1:43">
      <c r="A99" s="322"/>
      <c r="B99" s="369" t="s">
        <v>64</v>
      </c>
      <c r="C99" s="321">
        <v>9.3082414923597421E-5</v>
      </c>
      <c r="D99" s="2">
        <v>4.8934828084003677E-3</v>
      </c>
      <c r="E99" s="2">
        <v>2.9153152924209745E-3</v>
      </c>
      <c r="F99" s="370">
        <v>3.8145886678484668E-2</v>
      </c>
      <c r="G99" s="2">
        <v>5.4261362587713306E-4</v>
      </c>
      <c r="H99" s="2">
        <v>0</v>
      </c>
      <c r="I99" s="321">
        <v>2.4705695272331258E-3</v>
      </c>
      <c r="J99" s="321">
        <v>0.15684414320399437</v>
      </c>
      <c r="K99" s="2">
        <v>5.470031406001459E-2</v>
      </c>
      <c r="L99" s="2">
        <v>7.2175028581038234E-2</v>
      </c>
      <c r="M99" s="2">
        <v>7.9173385596268825E-2</v>
      </c>
      <c r="N99" s="321">
        <v>6.417233666240954E-2</v>
      </c>
      <c r="O99" s="321">
        <v>0</v>
      </c>
      <c r="P99" s="2">
        <v>0</v>
      </c>
      <c r="Q99" s="2">
        <v>0</v>
      </c>
      <c r="R99" s="321">
        <v>0</v>
      </c>
      <c r="S99" s="321">
        <v>0</v>
      </c>
      <c r="T99" s="321">
        <v>0</v>
      </c>
      <c r="U99" s="321">
        <v>5.8601115639811463E-2</v>
      </c>
      <c r="V99" s="634">
        <v>5.8601115639811463E-2</v>
      </c>
      <c r="W99" s="321">
        <v>7.4158684861640276E-2</v>
      </c>
      <c r="X99" s="634">
        <v>7.4158684861640276E-2</v>
      </c>
      <c r="Y99" s="321">
        <v>0</v>
      </c>
      <c r="Z99" s="749">
        <v>0</v>
      </c>
      <c r="AA99" s="426">
        <f t="shared" ref="AA99:AQ99" si="39">IF(D99&gt;0,D99,"—")</f>
        <v>4.8934828084003677E-3</v>
      </c>
      <c r="AB99" s="426">
        <f t="shared" si="39"/>
        <v>2.9153152924209745E-3</v>
      </c>
      <c r="AC99" s="426">
        <f t="shared" si="39"/>
        <v>3.8145886678484668E-2</v>
      </c>
      <c r="AD99" s="426">
        <f t="shared" si="39"/>
        <v>5.4261362587713306E-4</v>
      </c>
      <c r="AE99" s="426" t="str">
        <f t="shared" si="39"/>
        <v>—</v>
      </c>
      <c r="AF99" s="426">
        <f t="shared" si="39"/>
        <v>2.4705695272331258E-3</v>
      </c>
      <c r="AG99" s="429">
        <f t="shared" si="39"/>
        <v>0.15684414320399437</v>
      </c>
      <c r="AH99" s="426">
        <f t="shared" si="39"/>
        <v>5.470031406001459E-2</v>
      </c>
      <c r="AI99" s="426">
        <f t="shared" si="39"/>
        <v>7.2175028581038234E-2</v>
      </c>
      <c r="AJ99" s="426">
        <f t="shared" si="39"/>
        <v>7.9173385596268825E-2</v>
      </c>
      <c r="AK99" s="426">
        <f t="shared" si="39"/>
        <v>6.417233666240954E-2</v>
      </c>
      <c r="AL99" s="426" t="str">
        <f t="shared" si="39"/>
        <v>—</v>
      </c>
      <c r="AM99" s="426" t="str">
        <f t="shared" si="39"/>
        <v>—</v>
      </c>
      <c r="AN99" s="426" t="str">
        <f t="shared" si="39"/>
        <v>—</v>
      </c>
      <c r="AO99" s="426" t="str">
        <f t="shared" si="39"/>
        <v>—</v>
      </c>
      <c r="AP99" s="426" t="str">
        <f t="shared" si="39"/>
        <v>—</v>
      </c>
      <c r="AQ99" s="426" t="str">
        <f t="shared" si="39"/>
        <v>—</v>
      </c>
    </row>
    <row r="100" spans="1:43" s="1" customFormat="1">
      <c r="A100" s="322"/>
      <c r="B100" s="32" t="s">
        <v>59</v>
      </c>
      <c r="C100" s="321">
        <v>4928585</v>
      </c>
      <c r="D100" s="2">
        <v>1221849</v>
      </c>
      <c r="E100" s="2">
        <v>3862604</v>
      </c>
      <c r="F100" s="2">
        <v>222597</v>
      </c>
      <c r="G100" s="2">
        <v>276483</v>
      </c>
      <c r="H100" s="2">
        <v>49077</v>
      </c>
      <c r="I100" s="321">
        <v>10561195</v>
      </c>
      <c r="J100" s="321">
        <v>645990</v>
      </c>
      <c r="K100" s="2">
        <v>9215818</v>
      </c>
      <c r="L100" s="2">
        <v>2881036</v>
      </c>
      <c r="M100" s="2">
        <v>424549</v>
      </c>
      <c r="N100" s="321">
        <v>13167393</v>
      </c>
      <c r="O100" s="321">
        <v>0</v>
      </c>
      <c r="P100" s="2">
        <v>0</v>
      </c>
      <c r="Q100" s="2">
        <v>0</v>
      </c>
      <c r="R100" s="321">
        <v>0</v>
      </c>
      <c r="S100" s="321">
        <v>0</v>
      </c>
      <c r="T100" s="321">
        <v>0</v>
      </c>
      <c r="U100" s="321">
        <v>2009876</v>
      </c>
      <c r="V100" s="634">
        <v>2009876</v>
      </c>
      <c r="W100" s="321">
        <v>451914</v>
      </c>
      <c r="X100" s="634">
        <v>451914</v>
      </c>
      <c r="Y100" s="321">
        <v>0</v>
      </c>
      <c r="Z100" s="749">
        <v>0</v>
      </c>
      <c r="AA100" s="108"/>
      <c r="AB100" s="108"/>
      <c r="AC100" s="108"/>
      <c r="AD100" s="108"/>
      <c r="AE100" s="108"/>
      <c r="AF100" s="108"/>
      <c r="AG100" s="430"/>
      <c r="AH100" s="108"/>
      <c r="AI100" s="108"/>
      <c r="AJ100" s="108"/>
      <c r="AK100" s="108"/>
      <c r="AL100" s="108"/>
      <c r="AM100" s="108"/>
      <c r="AN100" s="108"/>
      <c r="AO100" s="108"/>
      <c r="AP100" s="108"/>
      <c r="AQ100" s="108"/>
    </row>
    <row r="101" spans="1:43">
      <c r="A101" s="322"/>
      <c r="B101" s="32" t="s">
        <v>63</v>
      </c>
      <c r="C101" s="321">
        <v>1023</v>
      </c>
      <c r="D101" s="2">
        <v>5432</v>
      </c>
      <c r="E101" s="2">
        <v>17117</v>
      </c>
      <c r="F101" s="2">
        <v>8271</v>
      </c>
      <c r="G101" s="2">
        <v>324</v>
      </c>
      <c r="H101" s="2">
        <v>0</v>
      </c>
      <c r="I101" s="321">
        <v>32167</v>
      </c>
      <c r="J101" s="321">
        <v>104922</v>
      </c>
      <c r="K101" s="2">
        <v>534371</v>
      </c>
      <c r="L101" s="2">
        <v>241197</v>
      </c>
      <c r="M101" s="2">
        <v>36896</v>
      </c>
      <c r="N101" s="321">
        <v>917386</v>
      </c>
      <c r="O101" s="321">
        <v>0</v>
      </c>
      <c r="P101" s="2">
        <v>0</v>
      </c>
      <c r="Q101" s="2">
        <v>0</v>
      </c>
      <c r="R101" s="321">
        <v>0</v>
      </c>
      <c r="S101" s="321">
        <v>0</v>
      </c>
      <c r="T101" s="321">
        <v>0</v>
      </c>
      <c r="U101" s="321">
        <v>127542</v>
      </c>
      <c r="V101" s="634">
        <v>127542</v>
      </c>
      <c r="W101" s="321">
        <v>40812</v>
      </c>
      <c r="X101" s="634">
        <v>40812</v>
      </c>
      <c r="Y101" s="321">
        <v>0</v>
      </c>
      <c r="Z101" s="749">
        <v>0</v>
      </c>
      <c r="AA101" s="427"/>
      <c r="AB101" s="427"/>
      <c r="AC101" s="427"/>
      <c r="AD101" s="427"/>
      <c r="AE101" s="427"/>
      <c r="AF101" s="427"/>
      <c r="AG101" s="431"/>
      <c r="AH101" s="427"/>
      <c r="AI101" s="427"/>
      <c r="AJ101" s="427"/>
      <c r="AK101" s="427"/>
      <c r="AL101" s="427"/>
      <c r="AM101" s="427"/>
      <c r="AN101" s="427"/>
      <c r="AO101" s="427"/>
      <c r="AP101" s="427"/>
      <c r="AQ101" s="427"/>
    </row>
    <row r="102" spans="1:43">
      <c r="A102" s="322"/>
      <c r="B102" s="369" t="s">
        <v>67</v>
      </c>
      <c r="C102" s="321">
        <v>2.0756464583648247E-4</v>
      </c>
      <c r="D102" s="2">
        <v>4.445721197954903E-3</v>
      </c>
      <c r="E102" s="2">
        <v>4.4314664407741509E-3</v>
      </c>
      <c r="F102" s="370">
        <v>3.715683499777625E-2</v>
      </c>
      <c r="G102" s="2">
        <v>1.1718622844804202E-3</v>
      </c>
      <c r="H102" s="2">
        <v>0</v>
      </c>
      <c r="I102" s="321">
        <v>3.0457727558292408E-3</v>
      </c>
      <c r="J102" s="321">
        <v>0.16242047090512238</v>
      </c>
      <c r="K102" s="2">
        <v>5.7984109495217893E-2</v>
      </c>
      <c r="L102" s="2">
        <v>8.3718842805157595E-2</v>
      </c>
      <c r="M102" s="2">
        <v>8.690634061086E-2</v>
      </c>
      <c r="N102" s="321">
        <v>6.9671042703745537E-2</v>
      </c>
      <c r="O102" s="321">
        <v>0</v>
      </c>
      <c r="P102" s="2">
        <v>0</v>
      </c>
      <c r="Q102" s="2">
        <v>0</v>
      </c>
      <c r="R102" s="321">
        <v>0</v>
      </c>
      <c r="S102" s="321">
        <v>0</v>
      </c>
      <c r="T102" s="321">
        <v>0</v>
      </c>
      <c r="U102" s="321">
        <v>6.3457646143344162E-2</v>
      </c>
      <c r="V102" s="634">
        <v>6.3457646143344162E-2</v>
      </c>
      <c r="W102" s="321">
        <v>9.0309218125572563E-2</v>
      </c>
      <c r="X102" s="634">
        <v>9.0309218125572563E-2</v>
      </c>
      <c r="Y102" s="321">
        <v>0</v>
      </c>
      <c r="Z102" s="749">
        <v>0</v>
      </c>
      <c r="AA102" s="426">
        <f t="shared" ref="AA102:AQ102" si="40">IF(D102&gt;0,D102,"—")</f>
        <v>4.445721197954903E-3</v>
      </c>
      <c r="AB102" s="426">
        <f t="shared" si="40"/>
        <v>4.4314664407741509E-3</v>
      </c>
      <c r="AC102" s="426">
        <f t="shared" si="40"/>
        <v>3.715683499777625E-2</v>
      </c>
      <c r="AD102" s="426">
        <f t="shared" si="40"/>
        <v>1.1718622844804202E-3</v>
      </c>
      <c r="AE102" s="426" t="str">
        <f t="shared" si="40"/>
        <v>—</v>
      </c>
      <c r="AF102" s="426">
        <f t="shared" si="40"/>
        <v>3.0457727558292408E-3</v>
      </c>
      <c r="AG102" s="429">
        <f t="shared" si="40"/>
        <v>0.16242047090512238</v>
      </c>
      <c r="AH102" s="426">
        <f t="shared" si="40"/>
        <v>5.7984109495217893E-2</v>
      </c>
      <c r="AI102" s="426">
        <f t="shared" si="40"/>
        <v>8.3718842805157595E-2</v>
      </c>
      <c r="AJ102" s="426">
        <f t="shared" si="40"/>
        <v>8.690634061086E-2</v>
      </c>
      <c r="AK102" s="426">
        <f t="shared" si="40"/>
        <v>6.9671042703745537E-2</v>
      </c>
      <c r="AL102" s="426" t="str">
        <f t="shared" si="40"/>
        <v>—</v>
      </c>
      <c r="AM102" s="426" t="str">
        <f t="shared" si="40"/>
        <v>—</v>
      </c>
      <c r="AN102" s="426" t="str">
        <f t="shared" si="40"/>
        <v>—</v>
      </c>
      <c r="AO102" s="426" t="str">
        <f t="shared" si="40"/>
        <v>—</v>
      </c>
      <c r="AP102" s="426" t="str">
        <f t="shared" si="40"/>
        <v>—</v>
      </c>
      <c r="AQ102" s="426" t="str">
        <f t="shared" si="40"/>
        <v>—</v>
      </c>
    </row>
    <row r="103" spans="1:43">
      <c r="A103" s="322"/>
      <c r="B103" s="32" t="s">
        <v>836</v>
      </c>
      <c r="C103" s="757">
        <v>1.1448223091288505E-4</v>
      </c>
      <c r="D103" s="2">
        <v>-4.4776161044546466E-4</v>
      </c>
      <c r="E103" s="2">
        <v>1.5161511483531764E-3</v>
      </c>
      <c r="F103" s="2">
        <v>-9.8905168070841792E-4</v>
      </c>
      <c r="G103" s="2">
        <v>6.2924865860328714E-4</v>
      </c>
      <c r="H103" s="2">
        <v>0</v>
      </c>
      <c r="I103" s="321">
        <v>5.7520322859611495E-4</v>
      </c>
      <c r="J103" s="321">
        <v>5.5763277011280088E-3</v>
      </c>
      <c r="K103" s="2">
        <v>3.283795435203303E-3</v>
      </c>
      <c r="L103" s="2">
        <v>1.1543814224119361E-2</v>
      </c>
      <c r="M103" s="2">
        <v>7.7329550145911752E-3</v>
      </c>
      <c r="N103" s="321">
        <v>5.4987060413359962E-3</v>
      </c>
      <c r="O103" s="321">
        <v>0</v>
      </c>
      <c r="P103" s="2">
        <v>0</v>
      </c>
      <c r="Q103" s="2">
        <v>0</v>
      </c>
      <c r="R103" s="321">
        <v>0</v>
      </c>
      <c r="S103" s="321">
        <v>0</v>
      </c>
      <c r="T103" s="321">
        <v>0</v>
      </c>
      <c r="U103" s="321">
        <v>4.8565305035326994E-3</v>
      </c>
      <c r="V103" s="634">
        <v>4.8565305035326994E-3</v>
      </c>
      <c r="W103" s="321">
        <v>1.6150533263932287E-2</v>
      </c>
      <c r="X103" s="634">
        <v>1.6150533263932287E-2</v>
      </c>
      <c r="Y103" s="321">
        <v>0</v>
      </c>
      <c r="Z103" s="749">
        <v>0</v>
      </c>
      <c r="AA103" s="640">
        <f t="shared" ref="AA103:AQ103" si="41">IF(OR((AA99="—"),(AA102="—")),"—",(AA102-AA99))</f>
        <v>-4.4776161044546466E-4</v>
      </c>
      <c r="AB103" s="640">
        <f t="shared" si="41"/>
        <v>1.5161511483531764E-3</v>
      </c>
      <c r="AC103" s="640">
        <f t="shared" si="41"/>
        <v>-9.8905168070841792E-4</v>
      </c>
      <c r="AD103" s="640">
        <f t="shared" si="41"/>
        <v>6.2924865860328714E-4</v>
      </c>
      <c r="AE103" s="640" t="str">
        <f t="shared" si="41"/>
        <v>—</v>
      </c>
      <c r="AF103" s="640">
        <f t="shared" si="41"/>
        <v>5.7520322859611495E-4</v>
      </c>
      <c r="AG103" s="641">
        <f t="shared" si="41"/>
        <v>5.5763277011280088E-3</v>
      </c>
      <c r="AH103" s="640">
        <f t="shared" si="41"/>
        <v>3.283795435203303E-3</v>
      </c>
      <c r="AI103" s="640">
        <f t="shared" si="41"/>
        <v>1.1543814224119361E-2</v>
      </c>
      <c r="AJ103" s="640">
        <f t="shared" si="41"/>
        <v>7.7329550145911752E-3</v>
      </c>
      <c r="AK103" s="640">
        <f t="shared" si="41"/>
        <v>5.4987060413359962E-3</v>
      </c>
      <c r="AL103" s="640" t="str">
        <f t="shared" si="41"/>
        <v>—</v>
      </c>
      <c r="AM103" s="640" t="str">
        <f t="shared" si="41"/>
        <v>—</v>
      </c>
      <c r="AN103" s="640" t="str">
        <f t="shared" si="41"/>
        <v>—</v>
      </c>
      <c r="AO103" s="640" t="str">
        <f t="shared" si="41"/>
        <v>—</v>
      </c>
      <c r="AP103" s="640" t="str">
        <f t="shared" si="41"/>
        <v>—</v>
      </c>
      <c r="AQ103" s="640" t="str">
        <f t="shared" si="41"/>
        <v>—</v>
      </c>
    </row>
    <row r="104" spans="1:43">
      <c r="A104" s="329" t="s">
        <v>725</v>
      </c>
      <c r="B104" s="319" t="s">
        <v>58</v>
      </c>
      <c r="C104" s="323">
        <v>2116122.5</v>
      </c>
      <c r="D104" s="324">
        <v>775773.5</v>
      </c>
      <c r="E104" s="324">
        <v>643122</v>
      </c>
      <c r="F104" s="324">
        <v>366444</v>
      </c>
      <c r="G104" s="324">
        <v>374520</v>
      </c>
      <c r="H104" s="324">
        <v>48729</v>
      </c>
      <c r="I104" s="323">
        <v>4324711</v>
      </c>
      <c r="J104" s="323">
        <v>0</v>
      </c>
      <c r="K104" s="324">
        <v>1753027</v>
      </c>
      <c r="L104" s="324">
        <v>1038554</v>
      </c>
      <c r="M104" s="324">
        <v>368031</v>
      </c>
      <c r="N104" s="323">
        <v>3159612</v>
      </c>
      <c r="O104" s="323">
        <v>0</v>
      </c>
      <c r="P104" s="324">
        <v>0</v>
      </c>
      <c r="Q104" s="324">
        <v>0</v>
      </c>
      <c r="R104" s="323">
        <v>0</v>
      </c>
      <c r="S104" s="323">
        <v>0</v>
      </c>
      <c r="T104" s="323">
        <v>0</v>
      </c>
      <c r="U104" s="323">
        <v>0</v>
      </c>
      <c r="V104" s="633">
        <v>0</v>
      </c>
      <c r="W104" s="323">
        <v>0</v>
      </c>
      <c r="X104" s="633">
        <v>0</v>
      </c>
      <c r="Y104" s="323">
        <v>0</v>
      </c>
      <c r="Z104" s="748">
        <v>0</v>
      </c>
      <c r="AA104" s="427"/>
      <c r="AB104" s="427"/>
      <c r="AC104" s="427"/>
      <c r="AD104" s="427"/>
      <c r="AE104" s="427"/>
      <c r="AF104" s="427"/>
      <c r="AG104" s="431"/>
      <c r="AH104" s="427"/>
      <c r="AI104" s="427"/>
      <c r="AJ104" s="427"/>
      <c r="AK104" s="427"/>
      <c r="AL104" s="427"/>
      <c r="AM104" s="427"/>
      <c r="AN104" s="427"/>
      <c r="AO104" s="427"/>
      <c r="AP104" s="427"/>
      <c r="AQ104" s="427"/>
    </row>
    <row r="105" spans="1:43">
      <c r="A105" s="322"/>
      <c r="B105" s="32" t="s">
        <v>62</v>
      </c>
      <c r="C105" s="321">
        <v>690</v>
      </c>
      <c r="D105" s="2">
        <v>2785</v>
      </c>
      <c r="E105" s="2">
        <v>1065</v>
      </c>
      <c r="F105" s="2">
        <v>0</v>
      </c>
      <c r="G105" s="2">
        <v>134</v>
      </c>
      <c r="H105" s="2">
        <v>84</v>
      </c>
      <c r="I105" s="321">
        <v>4758</v>
      </c>
      <c r="J105" s="321">
        <v>0</v>
      </c>
      <c r="K105" s="2">
        <v>61112</v>
      </c>
      <c r="L105" s="2">
        <v>147268</v>
      </c>
      <c r="M105" s="2">
        <v>67965</v>
      </c>
      <c r="N105" s="321">
        <v>276345</v>
      </c>
      <c r="O105" s="321">
        <v>0</v>
      </c>
      <c r="P105" s="2">
        <v>0</v>
      </c>
      <c r="Q105" s="2">
        <v>0</v>
      </c>
      <c r="R105" s="321">
        <v>0</v>
      </c>
      <c r="S105" s="321">
        <v>0</v>
      </c>
      <c r="T105" s="321">
        <v>0</v>
      </c>
      <c r="U105" s="321">
        <v>0</v>
      </c>
      <c r="V105" s="634">
        <v>0</v>
      </c>
      <c r="W105" s="321">
        <v>0</v>
      </c>
      <c r="X105" s="634">
        <v>0</v>
      </c>
      <c r="Y105" s="321">
        <v>0</v>
      </c>
      <c r="Z105" s="749">
        <v>0</v>
      </c>
      <c r="AA105" s="427"/>
      <c r="AB105" s="427"/>
      <c r="AC105" s="427"/>
      <c r="AD105" s="427"/>
      <c r="AE105" s="427"/>
      <c r="AF105" s="427"/>
      <c r="AG105" s="431"/>
      <c r="AH105" s="427"/>
      <c r="AI105" s="427"/>
      <c r="AJ105" s="427"/>
      <c r="AK105" s="427"/>
      <c r="AL105" s="427"/>
      <c r="AM105" s="427"/>
      <c r="AN105" s="427"/>
      <c r="AO105" s="427"/>
      <c r="AP105" s="427"/>
      <c r="AQ105" s="427"/>
    </row>
    <row r="106" spans="1:43">
      <c r="A106" s="322"/>
      <c r="B106" s="369" t="s">
        <v>64</v>
      </c>
      <c r="C106" s="321">
        <v>3.2606807970710582E-4</v>
      </c>
      <c r="D106" s="2">
        <v>3.5899653700467984E-3</v>
      </c>
      <c r="E106" s="2">
        <v>1.6559844010934162E-3</v>
      </c>
      <c r="F106" s="370">
        <v>0</v>
      </c>
      <c r="G106" s="2">
        <v>3.5779130620527608E-4</v>
      </c>
      <c r="H106" s="2">
        <v>1.72381949147325E-3</v>
      </c>
      <c r="I106" s="321">
        <v>1.1001891224639057E-3</v>
      </c>
      <c r="J106" s="321">
        <v>0</v>
      </c>
      <c r="K106" s="2">
        <v>3.4860843558028487E-2</v>
      </c>
      <c r="L106" s="2">
        <v>0.14180100408837673</v>
      </c>
      <c r="M106" s="2">
        <v>0.18467194339607262</v>
      </c>
      <c r="N106" s="321">
        <v>8.7461688333884027E-2</v>
      </c>
      <c r="O106" s="321">
        <v>0</v>
      </c>
      <c r="P106" s="2">
        <v>0</v>
      </c>
      <c r="Q106" s="2">
        <v>0</v>
      </c>
      <c r="R106" s="321">
        <v>0</v>
      </c>
      <c r="S106" s="321">
        <v>0</v>
      </c>
      <c r="T106" s="321">
        <v>0</v>
      </c>
      <c r="U106" s="321">
        <v>0</v>
      </c>
      <c r="V106" s="634">
        <v>0</v>
      </c>
      <c r="W106" s="321">
        <v>0</v>
      </c>
      <c r="X106" s="634">
        <v>0</v>
      </c>
      <c r="Y106" s="321">
        <v>0</v>
      </c>
      <c r="Z106" s="749">
        <v>0</v>
      </c>
      <c r="AA106" s="426">
        <f t="shared" ref="AA106:AQ106" si="42">IF(D106&gt;0,D106,"—")</f>
        <v>3.5899653700467984E-3</v>
      </c>
      <c r="AB106" s="426">
        <f t="shared" si="42"/>
        <v>1.6559844010934162E-3</v>
      </c>
      <c r="AC106" s="426" t="str">
        <f t="shared" si="42"/>
        <v>—</v>
      </c>
      <c r="AD106" s="426">
        <f t="shared" si="42"/>
        <v>3.5779130620527608E-4</v>
      </c>
      <c r="AE106" s="426">
        <f t="shared" si="42"/>
        <v>1.72381949147325E-3</v>
      </c>
      <c r="AF106" s="426">
        <f t="shared" si="42"/>
        <v>1.1001891224639057E-3</v>
      </c>
      <c r="AG106" s="429" t="str">
        <f t="shared" si="42"/>
        <v>—</v>
      </c>
      <c r="AH106" s="426">
        <f t="shared" si="42"/>
        <v>3.4860843558028487E-2</v>
      </c>
      <c r="AI106" s="426">
        <f t="shared" si="42"/>
        <v>0.14180100408837673</v>
      </c>
      <c r="AJ106" s="426">
        <f t="shared" si="42"/>
        <v>0.18467194339607262</v>
      </c>
      <c r="AK106" s="426">
        <f t="shared" si="42"/>
        <v>8.7461688333884027E-2</v>
      </c>
      <c r="AL106" s="426" t="str">
        <f t="shared" si="42"/>
        <v>—</v>
      </c>
      <c r="AM106" s="426" t="str">
        <f t="shared" si="42"/>
        <v>—</v>
      </c>
      <c r="AN106" s="426" t="str">
        <f t="shared" si="42"/>
        <v>—</v>
      </c>
      <c r="AO106" s="426" t="str">
        <f t="shared" si="42"/>
        <v>—</v>
      </c>
      <c r="AP106" s="426" t="str">
        <f t="shared" si="42"/>
        <v>—</v>
      </c>
      <c r="AQ106" s="426" t="str">
        <f t="shared" si="42"/>
        <v>—</v>
      </c>
    </row>
    <row r="107" spans="1:43">
      <c r="A107" s="322"/>
      <c r="B107" s="32" t="s">
        <v>59</v>
      </c>
      <c r="C107" s="321">
        <v>2228239</v>
      </c>
      <c r="D107" s="2">
        <v>820508.5</v>
      </c>
      <c r="E107" s="2">
        <v>685519</v>
      </c>
      <c r="F107" s="2">
        <v>392361</v>
      </c>
      <c r="G107" s="2">
        <v>391285</v>
      </c>
      <c r="H107" s="2">
        <v>51872.5</v>
      </c>
      <c r="I107" s="321">
        <v>4569785</v>
      </c>
      <c r="J107" s="321">
        <v>0</v>
      </c>
      <c r="K107" s="2">
        <v>1947130</v>
      </c>
      <c r="L107" s="2">
        <v>1089465</v>
      </c>
      <c r="M107" s="2">
        <v>495371</v>
      </c>
      <c r="N107" s="321">
        <v>3531966</v>
      </c>
      <c r="O107" s="321">
        <v>0</v>
      </c>
      <c r="P107" s="2">
        <v>0</v>
      </c>
      <c r="Q107" s="2">
        <v>0</v>
      </c>
      <c r="R107" s="321">
        <v>0</v>
      </c>
      <c r="S107" s="321">
        <v>0</v>
      </c>
      <c r="T107" s="321">
        <v>0</v>
      </c>
      <c r="U107" s="321">
        <v>0</v>
      </c>
      <c r="V107" s="634">
        <v>0</v>
      </c>
      <c r="W107" s="321">
        <v>0</v>
      </c>
      <c r="X107" s="634">
        <v>0</v>
      </c>
      <c r="Y107" s="321">
        <v>0</v>
      </c>
      <c r="Z107" s="749">
        <v>0</v>
      </c>
      <c r="AA107" s="108"/>
      <c r="AB107" s="108"/>
      <c r="AC107" s="108"/>
      <c r="AD107" s="108"/>
      <c r="AE107" s="108"/>
      <c r="AF107" s="108"/>
      <c r="AG107" s="430"/>
      <c r="AH107" s="108"/>
      <c r="AI107" s="108"/>
      <c r="AJ107" s="108"/>
      <c r="AK107" s="108"/>
      <c r="AL107" s="108"/>
      <c r="AM107" s="108"/>
      <c r="AN107" s="108"/>
      <c r="AO107" s="108"/>
      <c r="AP107" s="108"/>
      <c r="AQ107" s="108"/>
    </row>
    <row r="108" spans="1:43">
      <c r="A108" s="322"/>
      <c r="B108" s="32" t="s">
        <v>63</v>
      </c>
      <c r="C108" s="321">
        <v>1493</v>
      </c>
      <c r="D108" s="2">
        <v>3884</v>
      </c>
      <c r="E108" s="2">
        <v>1736</v>
      </c>
      <c r="F108" s="2">
        <v>0</v>
      </c>
      <c r="G108" s="2">
        <v>206</v>
      </c>
      <c r="H108" s="2">
        <v>142</v>
      </c>
      <c r="I108" s="321">
        <v>7461</v>
      </c>
      <c r="J108" s="321">
        <v>0</v>
      </c>
      <c r="K108" s="2">
        <v>83707</v>
      </c>
      <c r="L108" s="2">
        <v>225658</v>
      </c>
      <c r="M108" s="2">
        <v>115643</v>
      </c>
      <c r="N108" s="321">
        <v>425008</v>
      </c>
      <c r="O108" s="321">
        <v>0</v>
      </c>
      <c r="P108" s="2">
        <v>0</v>
      </c>
      <c r="Q108" s="2">
        <v>0</v>
      </c>
      <c r="R108" s="321">
        <v>0</v>
      </c>
      <c r="S108" s="321">
        <v>0</v>
      </c>
      <c r="T108" s="321">
        <v>0</v>
      </c>
      <c r="U108" s="321">
        <v>0</v>
      </c>
      <c r="V108" s="634">
        <v>0</v>
      </c>
      <c r="W108" s="321">
        <v>0</v>
      </c>
      <c r="X108" s="634">
        <v>0</v>
      </c>
      <c r="Y108" s="321">
        <v>0</v>
      </c>
      <c r="Z108" s="749">
        <v>0</v>
      </c>
      <c r="AA108" s="427"/>
      <c r="AB108" s="427"/>
      <c r="AC108" s="427"/>
      <c r="AD108" s="427"/>
      <c r="AE108" s="427"/>
      <c r="AF108" s="427"/>
      <c r="AG108" s="431"/>
      <c r="AH108" s="427"/>
      <c r="AI108" s="427"/>
      <c r="AJ108" s="427"/>
      <c r="AK108" s="427"/>
      <c r="AL108" s="427"/>
      <c r="AM108" s="427"/>
      <c r="AN108" s="427"/>
      <c r="AO108" s="427"/>
      <c r="AP108" s="427"/>
      <c r="AQ108" s="427"/>
    </row>
    <row r="109" spans="1:43">
      <c r="A109" s="322"/>
      <c r="B109" s="369" t="s">
        <v>67</v>
      </c>
      <c r="C109" s="321">
        <v>6.7003584444936116E-4</v>
      </c>
      <c r="D109" s="2">
        <v>4.7336499256253892E-3</v>
      </c>
      <c r="E109" s="2">
        <v>2.5323878696287046E-3</v>
      </c>
      <c r="F109" s="370">
        <v>0</v>
      </c>
      <c r="G109" s="2">
        <v>5.2647047548462121E-4</v>
      </c>
      <c r="H109" s="2">
        <v>2.737481324401176E-3</v>
      </c>
      <c r="I109" s="321">
        <v>1.6326807497508088E-3</v>
      </c>
      <c r="J109" s="321">
        <v>0</v>
      </c>
      <c r="K109" s="2">
        <v>4.2989939038482278E-2</v>
      </c>
      <c r="L109" s="2">
        <v>0.20712735149821243</v>
      </c>
      <c r="M109" s="2">
        <v>0.23344725468386321</v>
      </c>
      <c r="N109" s="321">
        <v>0.12033184917408604</v>
      </c>
      <c r="O109" s="321">
        <v>0</v>
      </c>
      <c r="P109" s="2">
        <v>0</v>
      </c>
      <c r="Q109" s="2">
        <v>0</v>
      </c>
      <c r="R109" s="321">
        <v>0</v>
      </c>
      <c r="S109" s="321">
        <v>0</v>
      </c>
      <c r="T109" s="321">
        <v>0</v>
      </c>
      <c r="U109" s="321">
        <v>0</v>
      </c>
      <c r="V109" s="634">
        <v>0</v>
      </c>
      <c r="W109" s="321">
        <v>0</v>
      </c>
      <c r="X109" s="634">
        <v>0</v>
      </c>
      <c r="Y109" s="321">
        <v>0</v>
      </c>
      <c r="Z109" s="749">
        <v>0</v>
      </c>
      <c r="AA109" s="426">
        <f t="shared" ref="AA109:AQ109" si="43">IF(D109&gt;0,D109,"—")</f>
        <v>4.7336499256253892E-3</v>
      </c>
      <c r="AB109" s="426">
        <f t="shared" si="43"/>
        <v>2.5323878696287046E-3</v>
      </c>
      <c r="AC109" s="426" t="str">
        <f t="shared" si="43"/>
        <v>—</v>
      </c>
      <c r="AD109" s="426">
        <f t="shared" si="43"/>
        <v>5.2647047548462121E-4</v>
      </c>
      <c r="AE109" s="426">
        <f t="shared" si="43"/>
        <v>2.737481324401176E-3</v>
      </c>
      <c r="AF109" s="426">
        <f t="shared" si="43"/>
        <v>1.6326807497508088E-3</v>
      </c>
      <c r="AG109" s="429" t="str">
        <f t="shared" si="43"/>
        <v>—</v>
      </c>
      <c r="AH109" s="426">
        <f t="shared" si="43"/>
        <v>4.2989939038482278E-2</v>
      </c>
      <c r="AI109" s="426">
        <f t="shared" si="43"/>
        <v>0.20712735149821243</v>
      </c>
      <c r="AJ109" s="426">
        <f t="shared" si="43"/>
        <v>0.23344725468386321</v>
      </c>
      <c r="AK109" s="426">
        <f t="shared" si="43"/>
        <v>0.12033184917408604</v>
      </c>
      <c r="AL109" s="426" t="str">
        <f t="shared" si="43"/>
        <v>—</v>
      </c>
      <c r="AM109" s="426" t="str">
        <f t="shared" si="43"/>
        <v>—</v>
      </c>
      <c r="AN109" s="426" t="str">
        <f t="shared" si="43"/>
        <v>—</v>
      </c>
      <c r="AO109" s="426" t="str">
        <f t="shared" si="43"/>
        <v>—</v>
      </c>
      <c r="AP109" s="426" t="str">
        <f t="shared" si="43"/>
        <v>—</v>
      </c>
      <c r="AQ109" s="426" t="str">
        <f t="shared" si="43"/>
        <v>—</v>
      </c>
    </row>
    <row r="110" spans="1:43">
      <c r="A110" s="322"/>
      <c r="B110" s="32" t="s">
        <v>836</v>
      </c>
      <c r="C110" s="757">
        <v>3.4396776474225534E-4</v>
      </c>
      <c r="D110" s="2">
        <v>1.1436845555785908E-3</v>
      </c>
      <c r="E110" s="2">
        <v>8.7640346853528847E-4</v>
      </c>
      <c r="F110" s="2">
        <v>0</v>
      </c>
      <c r="G110" s="2">
        <v>1.6867916927934513E-4</v>
      </c>
      <c r="H110" s="2">
        <v>1.013661832927926E-3</v>
      </c>
      <c r="I110" s="321">
        <v>5.3249162728690315E-4</v>
      </c>
      <c r="J110" s="321">
        <v>0</v>
      </c>
      <c r="K110" s="2">
        <v>8.1290954804537907E-3</v>
      </c>
      <c r="L110" s="782">
        <v>6.53263474098357E-2</v>
      </c>
      <c r="M110" s="782">
        <v>4.8775311287790585E-2</v>
      </c>
      <c r="N110" s="321">
        <v>3.2870160840202015E-2</v>
      </c>
      <c r="O110" s="321">
        <v>0</v>
      </c>
      <c r="P110" s="2">
        <v>0</v>
      </c>
      <c r="Q110" s="2">
        <v>0</v>
      </c>
      <c r="R110" s="321">
        <v>0</v>
      </c>
      <c r="S110" s="321">
        <v>0</v>
      </c>
      <c r="T110" s="321">
        <v>0</v>
      </c>
      <c r="U110" s="321">
        <v>0</v>
      </c>
      <c r="V110" s="634">
        <v>0</v>
      </c>
      <c r="W110" s="321">
        <v>0</v>
      </c>
      <c r="X110" s="634">
        <v>0</v>
      </c>
      <c r="Y110" s="321">
        <v>0</v>
      </c>
      <c r="Z110" s="749">
        <v>0</v>
      </c>
      <c r="AA110" s="640">
        <f t="shared" ref="AA110:AQ110" si="44">IF(OR((AA106="—"),(AA109="—")),"—",(AA109-AA106))</f>
        <v>1.1436845555785908E-3</v>
      </c>
      <c r="AB110" s="640">
        <f t="shared" si="44"/>
        <v>8.7640346853528847E-4</v>
      </c>
      <c r="AC110" s="640" t="str">
        <f t="shared" si="44"/>
        <v>—</v>
      </c>
      <c r="AD110" s="640">
        <f t="shared" si="44"/>
        <v>1.6867916927934513E-4</v>
      </c>
      <c r="AE110" s="640">
        <f t="shared" si="44"/>
        <v>1.013661832927926E-3</v>
      </c>
      <c r="AF110" s="640">
        <f t="shared" si="44"/>
        <v>5.3249162728690315E-4</v>
      </c>
      <c r="AG110" s="641" t="str">
        <f t="shared" si="44"/>
        <v>—</v>
      </c>
      <c r="AH110" s="640">
        <f t="shared" si="44"/>
        <v>8.1290954804537907E-3</v>
      </c>
      <c r="AI110" s="640">
        <f t="shared" si="44"/>
        <v>6.53263474098357E-2</v>
      </c>
      <c r="AJ110" s="640">
        <f t="shared" si="44"/>
        <v>4.8775311287790585E-2</v>
      </c>
      <c r="AK110" s="640">
        <f t="shared" si="44"/>
        <v>3.2870160840202015E-2</v>
      </c>
      <c r="AL110" s="640" t="str">
        <f t="shared" si="44"/>
        <v>—</v>
      </c>
      <c r="AM110" s="640" t="str">
        <f t="shared" si="44"/>
        <v>—</v>
      </c>
      <c r="AN110" s="640" t="str">
        <f t="shared" si="44"/>
        <v>—</v>
      </c>
      <c r="AO110" s="640" t="str">
        <f t="shared" si="44"/>
        <v>—</v>
      </c>
      <c r="AP110" s="640" t="str">
        <f t="shared" si="44"/>
        <v>—</v>
      </c>
      <c r="AQ110" s="640" t="str">
        <f t="shared" si="44"/>
        <v>—</v>
      </c>
    </row>
    <row r="111" spans="1:43">
      <c r="A111" s="329" t="s">
        <v>706</v>
      </c>
      <c r="B111" s="319" t="s">
        <v>58</v>
      </c>
      <c r="C111" s="323">
        <v>628859</v>
      </c>
      <c r="D111" s="324">
        <v>0</v>
      </c>
      <c r="E111" s="324">
        <v>247807</v>
      </c>
      <c r="F111" s="324">
        <v>0</v>
      </c>
      <c r="G111" s="324">
        <v>113270</v>
      </c>
      <c r="H111" s="324">
        <v>446086.1</v>
      </c>
      <c r="I111" s="323">
        <v>1436022.1</v>
      </c>
      <c r="J111" s="323">
        <v>120439</v>
      </c>
      <c r="K111" s="324">
        <v>0</v>
      </c>
      <c r="L111" s="324">
        <v>0</v>
      </c>
      <c r="M111" s="324">
        <v>355723.5</v>
      </c>
      <c r="N111" s="323">
        <v>476162.5</v>
      </c>
      <c r="O111" s="323">
        <v>0</v>
      </c>
      <c r="P111" s="324">
        <v>0</v>
      </c>
      <c r="Q111" s="324">
        <v>0</v>
      </c>
      <c r="R111" s="323">
        <v>0</v>
      </c>
      <c r="S111" s="323">
        <v>0</v>
      </c>
      <c r="T111" s="323">
        <v>0</v>
      </c>
      <c r="U111" s="323">
        <v>0</v>
      </c>
      <c r="V111" s="633">
        <v>0</v>
      </c>
      <c r="W111" s="323">
        <v>0</v>
      </c>
      <c r="X111" s="633">
        <v>0</v>
      </c>
      <c r="Y111" s="323">
        <v>0</v>
      </c>
      <c r="Z111" s="748">
        <v>0</v>
      </c>
      <c r="AA111" s="427"/>
      <c r="AB111" s="427"/>
      <c r="AC111" s="427"/>
      <c r="AD111" s="427"/>
      <c r="AE111" s="427"/>
      <c r="AF111" s="427"/>
      <c r="AG111" s="431"/>
      <c r="AH111" s="427"/>
      <c r="AI111" s="427"/>
      <c r="AJ111" s="427"/>
      <c r="AK111" s="427"/>
      <c r="AL111" s="427"/>
      <c r="AM111" s="427"/>
      <c r="AN111" s="427"/>
      <c r="AO111" s="427"/>
      <c r="AP111" s="427"/>
      <c r="AQ111" s="427"/>
    </row>
    <row r="112" spans="1:43">
      <c r="A112" s="322"/>
      <c r="B112" s="32" t="s">
        <v>62</v>
      </c>
      <c r="C112" s="321">
        <v>2593</v>
      </c>
      <c r="D112" s="2">
        <v>0</v>
      </c>
      <c r="E112" s="2">
        <v>3836</v>
      </c>
      <c r="F112" s="2">
        <v>0</v>
      </c>
      <c r="G112" s="2">
        <v>0</v>
      </c>
      <c r="H112" s="2">
        <v>8052</v>
      </c>
      <c r="I112" s="321">
        <v>14481</v>
      </c>
      <c r="J112" s="321">
        <v>6305</v>
      </c>
      <c r="K112" s="2">
        <v>0</v>
      </c>
      <c r="L112" s="2">
        <v>0</v>
      </c>
      <c r="M112" s="2">
        <v>18933.3</v>
      </c>
      <c r="N112" s="321">
        <v>25238.3</v>
      </c>
      <c r="O112" s="321">
        <v>0</v>
      </c>
      <c r="P112" s="2">
        <v>0</v>
      </c>
      <c r="Q112" s="2">
        <v>0</v>
      </c>
      <c r="R112" s="321">
        <v>0</v>
      </c>
      <c r="S112" s="321">
        <v>0</v>
      </c>
      <c r="T112" s="321">
        <v>0</v>
      </c>
      <c r="U112" s="321">
        <v>0</v>
      </c>
      <c r="V112" s="634">
        <v>0</v>
      </c>
      <c r="W112" s="321">
        <v>0</v>
      </c>
      <c r="X112" s="634">
        <v>0</v>
      </c>
      <c r="Y112" s="321">
        <v>0</v>
      </c>
      <c r="Z112" s="749">
        <v>0</v>
      </c>
      <c r="AA112" s="427"/>
      <c r="AB112" s="427"/>
      <c r="AC112" s="427"/>
      <c r="AD112" s="427"/>
      <c r="AE112" s="427"/>
      <c r="AF112" s="427"/>
      <c r="AG112" s="431"/>
      <c r="AH112" s="427"/>
      <c r="AI112" s="427"/>
      <c r="AJ112" s="427"/>
      <c r="AK112" s="427"/>
      <c r="AL112" s="427"/>
      <c r="AM112" s="427"/>
      <c r="AN112" s="427"/>
      <c r="AO112" s="427"/>
      <c r="AP112" s="427"/>
      <c r="AQ112" s="427"/>
    </row>
    <row r="113" spans="1:43">
      <c r="A113" s="322"/>
      <c r="B113" s="369" t="s">
        <v>64</v>
      </c>
      <c r="C113" s="321">
        <v>4.12334084429101E-3</v>
      </c>
      <c r="D113" s="2">
        <v>0</v>
      </c>
      <c r="E113" s="2">
        <v>1.5479788706533713E-2</v>
      </c>
      <c r="F113" s="370">
        <v>0</v>
      </c>
      <c r="G113" s="2">
        <v>0</v>
      </c>
      <c r="H113" s="2">
        <v>1.8050327055696199E-2</v>
      </c>
      <c r="I113" s="321">
        <v>1.0084106644319749E-2</v>
      </c>
      <c r="J113" s="321">
        <v>5.2350152359285612E-2</v>
      </c>
      <c r="K113" s="2">
        <v>0</v>
      </c>
      <c r="L113" s="2">
        <v>0</v>
      </c>
      <c r="M113" s="2">
        <v>5.3224765864498688E-2</v>
      </c>
      <c r="N113" s="321">
        <v>5.3003543958207541E-2</v>
      </c>
      <c r="O113" s="321">
        <v>0</v>
      </c>
      <c r="P113" s="2">
        <v>0</v>
      </c>
      <c r="Q113" s="2">
        <v>0</v>
      </c>
      <c r="R113" s="321">
        <v>0</v>
      </c>
      <c r="S113" s="321">
        <v>0</v>
      </c>
      <c r="T113" s="321">
        <v>0</v>
      </c>
      <c r="U113" s="321">
        <v>0</v>
      </c>
      <c r="V113" s="634">
        <v>0</v>
      </c>
      <c r="W113" s="321">
        <v>0</v>
      </c>
      <c r="X113" s="634">
        <v>0</v>
      </c>
      <c r="Y113" s="321">
        <v>0</v>
      </c>
      <c r="Z113" s="749">
        <v>0</v>
      </c>
      <c r="AA113" s="426" t="str">
        <f t="shared" ref="AA113:AQ113" si="45">IF(D113&gt;0,D113,"—")</f>
        <v>—</v>
      </c>
      <c r="AB113" s="426">
        <f t="shared" si="45"/>
        <v>1.5479788706533713E-2</v>
      </c>
      <c r="AC113" s="426" t="str">
        <f t="shared" si="45"/>
        <v>—</v>
      </c>
      <c r="AD113" s="426" t="str">
        <f t="shared" si="45"/>
        <v>—</v>
      </c>
      <c r="AE113" s="426">
        <f t="shared" si="45"/>
        <v>1.8050327055696199E-2</v>
      </c>
      <c r="AF113" s="426">
        <f t="shared" si="45"/>
        <v>1.0084106644319749E-2</v>
      </c>
      <c r="AG113" s="429">
        <f t="shared" si="45"/>
        <v>5.2350152359285612E-2</v>
      </c>
      <c r="AH113" s="426" t="str">
        <f t="shared" si="45"/>
        <v>—</v>
      </c>
      <c r="AI113" s="426" t="str">
        <f t="shared" si="45"/>
        <v>—</v>
      </c>
      <c r="AJ113" s="426">
        <f t="shared" si="45"/>
        <v>5.3224765864498688E-2</v>
      </c>
      <c r="AK113" s="426">
        <f t="shared" si="45"/>
        <v>5.3003543958207541E-2</v>
      </c>
      <c r="AL113" s="426" t="str">
        <f t="shared" si="45"/>
        <v>—</v>
      </c>
      <c r="AM113" s="426" t="str">
        <f t="shared" si="45"/>
        <v>—</v>
      </c>
      <c r="AN113" s="426" t="str">
        <f t="shared" si="45"/>
        <v>—</v>
      </c>
      <c r="AO113" s="426" t="str">
        <f t="shared" si="45"/>
        <v>—</v>
      </c>
      <c r="AP113" s="426" t="str">
        <f t="shared" si="45"/>
        <v>—</v>
      </c>
      <c r="AQ113" s="426" t="str">
        <f t="shared" si="45"/>
        <v>—</v>
      </c>
    </row>
    <row r="114" spans="1:43">
      <c r="A114" s="322"/>
      <c r="B114" s="32" t="s">
        <v>59</v>
      </c>
      <c r="C114" s="321">
        <v>636233</v>
      </c>
      <c r="D114" s="2">
        <v>0</v>
      </c>
      <c r="E114" s="2">
        <v>250811</v>
      </c>
      <c r="F114" s="2">
        <v>0</v>
      </c>
      <c r="G114" s="2">
        <v>115278</v>
      </c>
      <c r="H114" s="2">
        <v>463174.5</v>
      </c>
      <c r="I114" s="321">
        <v>1465496.5</v>
      </c>
      <c r="J114" s="321">
        <v>134095</v>
      </c>
      <c r="K114" s="2">
        <v>0</v>
      </c>
      <c r="L114" s="2">
        <v>0</v>
      </c>
      <c r="M114" s="2">
        <v>392390.1</v>
      </c>
      <c r="N114" s="321">
        <v>526485.1</v>
      </c>
      <c r="O114" s="321">
        <v>0</v>
      </c>
      <c r="P114" s="2">
        <v>0</v>
      </c>
      <c r="Q114" s="2">
        <v>0</v>
      </c>
      <c r="R114" s="321">
        <v>0</v>
      </c>
      <c r="S114" s="321">
        <v>0</v>
      </c>
      <c r="T114" s="321">
        <v>0</v>
      </c>
      <c r="U114" s="321">
        <v>0</v>
      </c>
      <c r="V114" s="634">
        <v>0</v>
      </c>
      <c r="W114" s="321">
        <v>0</v>
      </c>
      <c r="X114" s="634">
        <v>0</v>
      </c>
      <c r="Y114" s="321">
        <v>0</v>
      </c>
      <c r="Z114" s="749">
        <v>0</v>
      </c>
      <c r="AA114" s="108"/>
      <c r="AB114" s="108"/>
      <c r="AC114" s="108"/>
      <c r="AD114" s="108"/>
      <c r="AE114" s="108"/>
      <c r="AF114" s="108"/>
      <c r="AG114" s="430"/>
      <c r="AH114" s="108"/>
      <c r="AI114" s="108"/>
      <c r="AJ114" s="108"/>
      <c r="AK114" s="108"/>
      <c r="AL114" s="108"/>
      <c r="AM114" s="108"/>
      <c r="AN114" s="108"/>
      <c r="AO114" s="108"/>
      <c r="AP114" s="108"/>
      <c r="AQ114" s="108"/>
    </row>
    <row r="115" spans="1:43">
      <c r="A115" s="322"/>
      <c r="B115" s="32" t="s">
        <v>63</v>
      </c>
      <c r="C115" s="321">
        <v>2634</v>
      </c>
      <c r="D115" s="2">
        <v>0</v>
      </c>
      <c r="E115" s="2">
        <v>3664</v>
      </c>
      <c r="F115" s="2">
        <v>0</v>
      </c>
      <c r="G115" s="2">
        <v>0</v>
      </c>
      <c r="H115" s="2">
        <v>7476</v>
      </c>
      <c r="I115" s="321">
        <v>13774</v>
      </c>
      <c r="J115" s="321">
        <v>6603</v>
      </c>
      <c r="K115" s="2">
        <v>0</v>
      </c>
      <c r="L115" s="2">
        <v>0</v>
      </c>
      <c r="M115" s="2">
        <v>18242.099999999999</v>
      </c>
      <c r="N115" s="321">
        <v>24845.1</v>
      </c>
      <c r="O115" s="321">
        <v>0</v>
      </c>
      <c r="P115" s="2">
        <v>0</v>
      </c>
      <c r="Q115" s="2">
        <v>0</v>
      </c>
      <c r="R115" s="321">
        <v>0</v>
      </c>
      <c r="S115" s="321">
        <v>0</v>
      </c>
      <c r="T115" s="321">
        <v>0</v>
      </c>
      <c r="U115" s="321">
        <v>0</v>
      </c>
      <c r="V115" s="634">
        <v>0</v>
      </c>
      <c r="W115" s="321">
        <v>0</v>
      </c>
      <c r="X115" s="634">
        <v>0</v>
      </c>
      <c r="Y115" s="321">
        <v>0</v>
      </c>
      <c r="Z115" s="749">
        <v>0</v>
      </c>
      <c r="AA115" s="427"/>
      <c r="AB115" s="427"/>
      <c r="AC115" s="427"/>
      <c r="AD115" s="427"/>
      <c r="AE115" s="427"/>
      <c r="AF115" s="427"/>
      <c r="AG115" s="431"/>
      <c r="AH115" s="427"/>
      <c r="AI115" s="427"/>
      <c r="AJ115" s="427"/>
      <c r="AK115" s="427"/>
      <c r="AL115" s="427"/>
      <c r="AM115" s="427"/>
      <c r="AN115" s="427"/>
      <c r="AO115" s="427"/>
      <c r="AP115" s="427"/>
      <c r="AQ115" s="427"/>
    </row>
    <row r="116" spans="1:43">
      <c r="A116" s="322"/>
      <c r="B116" s="369" t="s">
        <v>67</v>
      </c>
      <c r="C116" s="321">
        <v>4.13999273850932E-3</v>
      </c>
      <c r="D116" s="2">
        <v>0</v>
      </c>
      <c r="E116" s="2">
        <v>1.4608609670229774E-2</v>
      </c>
      <c r="F116" s="370">
        <v>0</v>
      </c>
      <c r="G116" s="2">
        <v>0</v>
      </c>
      <c r="H116" s="2">
        <v>1.6140784952539487E-2</v>
      </c>
      <c r="I116" s="321">
        <v>9.3988624333118508E-3</v>
      </c>
      <c r="J116" s="321">
        <v>4.9241209590215891E-2</v>
      </c>
      <c r="K116" s="2">
        <v>0</v>
      </c>
      <c r="L116" s="2">
        <v>0</v>
      </c>
      <c r="M116" s="2">
        <v>4.6489705015493508E-2</v>
      </c>
      <c r="N116" s="321">
        <v>4.7190509285068086E-2</v>
      </c>
      <c r="O116" s="321">
        <v>0</v>
      </c>
      <c r="P116" s="2">
        <v>0</v>
      </c>
      <c r="Q116" s="2">
        <v>0</v>
      </c>
      <c r="R116" s="321">
        <v>0</v>
      </c>
      <c r="S116" s="321">
        <v>0</v>
      </c>
      <c r="T116" s="321">
        <v>0</v>
      </c>
      <c r="U116" s="321">
        <v>0</v>
      </c>
      <c r="V116" s="634">
        <v>0</v>
      </c>
      <c r="W116" s="321">
        <v>0</v>
      </c>
      <c r="X116" s="634">
        <v>0</v>
      </c>
      <c r="Y116" s="321">
        <v>0</v>
      </c>
      <c r="Z116" s="749">
        <v>0</v>
      </c>
      <c r="AA116" s="426" t="str">
        <f t="shared" ref="AA116:AQ116" si="46">IF(D116&gt;0,D116,"—")</f>
        <v>—</v>
      </c>
      <c r="AB116" s="426">
        <f t="shared" si="46"/>
        <v>1.4608609670229774E-2</v>
      </c>
      <c r="AC116" s="426" t="str">
        <f t="shared" si="46"/>
        <v>—</v>
      </c>
      <c r="AD116" s="426" t="str">
        <f t="shared" si="46"/>
        <v>—</v>
      </c>
      <c r="AE116" s="426">
        <f t="shared" si="46"/>
        <v>1.6140784952539487E-2</v>
      </c>
      <c r="AF116" s="426">
        <f t="shared" si="46"/>
        <v>9.3988624333118508E-3</v>
      </c>
      <c r="AG116" s="429">
        <f t="shared" si="46"/>
        <v>4.9241209590215891E-2</v>
      </c>
      <c r="AH116" s="426" t="str">
        <f t="shared" si="46"/>
        <v>—</v>
      </c>
      <c r="AI116" s="426" t="str">
        <f t="shared" si="46"/>
        <v>—</v>
      </c>
      <c r="AJ116" s="426">
        <f t="shared" si="46"/>
        <v>4.6489705015493508E-2</v>
      </c>
      <c r="AK116" s="426">
        <f t="shared" si="46"/>
        <v>4.7190509285068086E-2</v>
      </c>
      <c r="AL116" s="426" t="str">
        <f t="shared" si="46"/>
        <v>—</v>
      </c>
      <c r="AM116" s="426" t="str">
        <f t="shared" si="46"/>
        <v>—</v>
      </c>
      <c r="AN116" s="426" t="str">
        <f t="shared" si="46"/>
        <v>—</v>
      </c>
      <c r="AO116" s="426" t="str">
        <f t="shared" si="46"/>
        <v>—</v>
      </c>
      <c r="AP116" s="426" t="str">
        <f t="shared" si="46"/>
        <v>—</v>
      </c>
      <c r="AQ116" s="426" t="str">
        <f t="shared" si="46"/>
        <v>—</v>
      </c>
    </row>
    <row r="117" spans="1:43">
      <c r="A117" s="322"/>
      <c r="B117" s="32" t="s">
        <v>836</v>
      </c>
      <c r="C117" s="757">
        <v>1.6651894218309982E-5</v>
      </c>
      <c r="D117" s="2">
        <v>0</v>
      </c>
      <c r="E117" s="2">
        <v>-8.7117903630393873E-4</v>
      </c>
      <c r="F117" s="2">
        <v>0</v>
      </c>
      <c r="G117" s="2">
        <v>0</v>
      </c>
      <c r="H117" s="2">
        <v>-1.9095421031567125E-3</v>
      </c>
      <c r="I117" s="321">
        <v>-6.8524421100789844E-4</v>
      </c>
      <c r="J117" s="321">
        <v>-3.1089427690697211E-3</v>
      </c>
      <c r="K117" s="2">
        <v>0</v>
      </c>
      <c r="L117" s="2">
        <v>0</v>
      </c>
      <c r="M117" s="2">
        <v>-6.7350608490051797E-3</v>
      </c>
      <c r="N117" s="321">
        <v>-5.8130346731394555E-3</v>
      </c>
      <c r="O117" s="321">
        <v>0</v>
      </c>
      <c r="P117" s="2">
        <v>0</v>
      </c>
      <c r="Q117" s="2">
        <v>0</v>
      </c>
      <c r="R117" s="321">
        <v>0</v>
      </c>
      <c r="S117" s="321">
        <v>0</v>
      </c>
      <c r="T117" s="321">
        <v>0</v>
      </c>
      <c r="U117" s="321">
        <v>0</v>
      </c>
      <c r="V117" s="634">
        <v>0</v>
      </c>
      <c r="W117" s="321">
        <v>0</v>
      </c>
      <c r="X117" s="634">
        <v>0</v>
      </c>
      <c r="Y117" s="321">
        <v>0</v>
      </c>
      <c r="Z117" s="749">
        <v>0</v>
      </c>
      <c r="AA117" s="640" t="str">
        <f t="shared" ref="AA117:AQ117" si="47">IF(OR((AA113="—"),(AA116="—")),"—",(AA116-AA113))</f>
        <v>—</v>
      </c>
      <c r="AB117" s="640">
        <f t="shared" si="47"/>
        <v>-8.7117903630393873E-4</v>
      </c>
      <c r="AC117" s="640" t="str">
        <f t="shared" si="47"/>
        <v>—</v>
      </c>
      <c r="AD117" s="640" t="str">
        <f t="shared" si="47"/>
        <v>—</v>
      </c>
      <c r="AE117" s="640">
        <f t="shared" si="47"/>
        <v>-1.9095421031567125E-3</v>
      </c>
      <c r="AF117" s="640">
        <f t="shared" si="47"/>
        <v>-6.8524421100789844E-4</v>
      </c>
      <c r="AG117" s="641">
        <f t="shared" si="47"/>
        <v>-3.1089427690697211E-3</v>
      </c>
      <c r="AH117" s="640" t="str">
        <f t="shared" si="47"/>
        <v>—</v>
      </c>
      <c r="AI117" s="640" t="str">
        <f t="shared" si="47"/>
        <v>—</v>
      </c>
      <c r="AJ117" s="640">
        <f t="shared" si="47"/>
        <v>-6.7350608490051797E-3</v>
      </c>
      <c r="AK117" s="640">
        <f t="shared" si="47"/>
        <v>-5.8130346731394555E-3</v>
      </c>
      <c r="AL117" s="640" t="str">
        <f t="shared" si="47"/>
        <v>—</v>
      </c>
      <c r="AM117" s="640" t="str">
        <f t="shared" si="47"/>
        <v>—</v>
      </c>
      <c r="AN117" s="640" t="str">
        <f t="shared" si="47"/>
        <v>—</v>
      </c>
      <c r="AO117" s="640" t="str">
        <f t="shared" si="47"/>
        <v>—</v>
      </c>
      <c r="AP117" s="640" t="str">
        <f t="shared" si="47"/>
        <v>—</v>
      </c>
      <c r="AQ117" s="640" t="str">
        <f t="shared" si="47"/>
        <v>—</v>
      </c>
    </row>
    <row r="118" spans="1:43">
      <c r="A118" s="319" t="s">
        <v>980</v>
      </c>
      <c r="B118" s="319" t="s">
        <v>58</v>
      </c>
      <c r="C118" s="323">
        <v>0</v>
      </c>
      <c r="D118" s="324">
        <v>0</v>
      </c>
      <c r="E118" s="324">
        <v>0</v>
      </c>
      <c r="F118" s="324">
        <v>0</v>
      </c>
      <c r="G118" s="324">
        <v>0</v>
      </c>
      <c r="H118" s="324">
        <v>0</v>
      </c>
      <c r="I118" s="323">
        <v>0</v>
      </c>
      <c r="J118" s="323">
        <v>0</v>
      </c>
      <c r="K118" s="324">
        <v>0</v>
      </c>
      <c r="L118" s="324">
        <v>0</v>
      </c>
      <c r="M118" s="324">
        <v>0</v>
      </c>
      <c r="N118" s="323">
        <v>0</v>
      </c>
      <c r="O118" s="323">
        <v>0</v>
      </c>
      <c r="P118" s="324">
        <v>0</v>
      </c>
      <c r="Q118" s="324">
        <v>0</v>
      </c>
      <c r="R118" s="323">
        <v>0</v>
      </c>
      <c r="S118" s="323">
        <v>0</v>
      </c>
      <c r="T118" s="323">
        <v>0</v>
      </c>
      <c r="U118" s="323">
        <v>0</v>
      </c>
      <c r="V118" s="633">
        <v>0</v>
      </c>
      <c r="W118" s="323">
        <v>0</v>
      </c>
      <c r="X118" s="633">
        <v>0</v>
      </c>
      <c r="Y118" s="323">
        <v>0</v>
      </c>
      <c r="Z118" s="748">
        <v>0</v>
      </c>
      <c r="AA118" s="427"/>
      <c r="AB118" s="427"/>
      <c r="AC118" s="427"/>
      <c r="AD118" s="427"/>
      <c r="AE118" s="427"/>
      <c r="AF118" s="427"/>
      <c r="AG118" s="431"/>
      <c r="AH118" s="427"/>
      <c r="AI118" s="427"/>
      <c r="AJ118" s="427"/>
      <c r="AK118" s="427"/>
      <c r="AL118" s="427"/>
      <c r="AM118" s="427"/>
      <c r="AN118" s="427"/>
      <c r="AO118" s="427"/>
      <c r="AP118" s="427"/>
      <c r="AQ118" s="427"/>
    </row>
    <row r="119" spans="1:43">
      <c r="A119" s="326"/>
      <c r="B119" s="32" t="s">
        <v>62</v>
      </c>
      <c r="C119" s="321">
        <v>0</v>
      </c>
      <c r="D119" s="2">
        <v>0</v>
      </c>
      <c r="E119" s="2">
        <v>0</v>
      </c>
      <c r="F119" s="2">
        <v>0</v>
      </c>
      <c r="G119" s="2">
        <v>0</v>
      </c>
      <c r="H119" s="2">
        <v>0</v>
      </c>
      <c r="I119" s="321">
        <v>0</v>
      </c>
      <c r="J119" s="321">
        <v>0</v>
      </c>
      <c r="K119" s="2">
        <v>0</v>
      </c>
      <c r="L119" s="2">
        <v>0</v>
      </c>
      <c r="M119" s="2">
        <v>0</v>
      </c>
      <c r="N119" s="321">
        <v>0</v>
      </c>
      <c r="O119" s="321">
        <v>0</v>
      </c>
      <c r="P119" s="2">
        <v>0</v>
      </c>
      <c r="Q119" s="2">
        <v>0</v>
      </c>
      <c r="R119" s="321">
        <v>0</v>
      </c>
      <c r="S119" s="321">
        <v>0</v>
      </c>
      <c r="T119" s="321">
        <v>0</v>
      </c>
      <c r="U119" s="321">
        <v>0</v>
      </c>
      <c r="V119" s="634">
        <v>0</v>
      </c>
      <c r="W119" s="321">
        <v>0</v>
      </c>
      <c r="X119" s="634">
        <v>0</v>
      </c>
      <c r="Y119" s="321">
        <v>0</v>
      </c>
      <c r="Z119" s="749">
        <v>0</v>
      </c>
      <c r="AA119" s="427"/>
      <c r="AB119" s="427"/>
      <c r="AC119" s="427"/>
      <c r="AD119" s="427"/>
      <c r="AE119" s="427"/>
      <c r="AF119" s="427"/>
      <c r="AG119" s="431"/>
      <c r="AH119" s="427"/>
      <c r="AI119" s="427"/>
      <c r="AJ119" s="427"/>
      <c r="AK119" s="427"/>
      <c r="AL119" s="427"/>
      <c r="AM119" s="427"/>
      <c r="AN119" s="427"/>
      <c r="AO119" s="427"/>
      <c r="AP119" s="427"/>
      <c r="AQ119" s="427"/>
    </row>
    <row r="120" spans="1:43">
      <c r="A120" s="326"/>
      <c r="B120" s="32" t="s">
        <v>64</v>
      </c>
      <c r="C120" s="321">
        <v>0</v>
      </c>
      <c r="D120" s="2">
        <v>0</v>
      </c>
      <c r="E120" s="2">
        <v>0</v>
      </c>
      <c r="F120" s="2">
        <v>0</v>
      </c>
      <c r="G120" s="2">
        <v>0</v>
      </c>
      <c r="H120" s="2">
        <v>0</v>
      </c>
      <c r="I120" s="321">
        <v>0</v>
      </c>
      <c r="J120" s="321">
        <v>0</v>
      </c>
      <c r="K120" s="2">
        <v>0</v>
      </c>
      <c r="L120" s="2">
        <v>0</v>
      </c>
      <c r="M120" s="2">
        <v>0</v>
      </c>
      <c r="N120" s="321">
        <v>0</v>
      </c>
      <c r="O120" s="321">
        <v>0</v>
      </c>
      <c r="P120" s="2">
        <v>0</v>
      </c>
      <c r="Q120" s="2">
        <v>0</v>
      </c>
      <c r="R120" s="321">
        <v>0</v>
      </c>
      <c r="S120" s="321">
        <v>0</v>
      </c>
      <c r="T120" s="321">
        <v>0</v>
      </c>
      <c r="U120" s="321">
        <v>0</v>
      </c>
      <c r="V120" s="634">
        <v>0</v>
      </c>
      <c r="W120" s="321">
        <v>0</v>
      </c>
      <c r="X120" s="634">
        <v>0</v>
      </c>
      <c r="Y120" s="321">
        <v>0</v>
      </c>
      <c r="Z120" s="749">
        <v>0</v>
      </c>
      <c r="AA120" s="426" t="str">
        <f t="shared" ref="AA120:AQ120" si="48">IF(D120&gt;0,D120,"—")</f>
        <v>—</v>
      </c>
      <c r="AB120" s="426" t="str">
        <f t="shared" si="48"/>
        <v>—</v>
      </c>
      <c r="AC120" s="426" t="str">
        <f t="shared" si="48"/>
        <v>—</v>
      </c>
      <c r="AD120" s="426" t="str">
        <f t="shared" si="48"/>
        <v>—</v>
      </c>
      <c r="AE120" s="426" t="str">
        <f t="shared" si="48"/>
        <v>—</v>
      </c>
      <c r="AF120" s="426" t="str">
        <f t="shared" si="48"/>
        <v>—</v>
      </c>
      <c r="AG120" s="429" t="str">
        <f t="shared" si="48"/>
        <v>—</v>
      </c>
      <c r="AH120" s="426" t="str">
        <f t="shared" si="48"/>
        <v>—</v>
      </c>
      <c r="AI120" s="426" t="str">
        <f t="shared" si="48"/>
        <v>—</v>
      </c>
      <c r="AJ120" s="426" t="str">
        <f t="shared" si="48"/>
        <v>—</v>
      </c>
      <c r="AK120" s="426" t="str">
        <f t="shared" si="48"/>
        <v>—</v>
      </c>
      <c r="AL120" s="426" t="str">
        <f t="shared" si="48"/>
        <v>—</v>
      </c>
      <c r="AM120" s="426" t="str">
        <f t="shared" si="48"/>
        <v>—</v>
      </c>
      <c r="AN120" s="426" t="str">
        <f t="shared" si="48"/>
        <v>—</v>
      </c>
      <c r="AO120" s="426" t="str">
        <f t="shared" si="48"/>
        <v>—</v>
      </c>
      <c r="AP120" s="426" t="str">
        <f t="shared" si="48"/>
        <v>—</v>
      </c>
      <c r="AQ120" s="426" t="str">
        <f t="shared" si="48"/>
        <v>—</v>
      </c>
    </row>
    <row r="121" spans="1:43">
      <c r="A121" s="326"/>
      <c r="B121" s="32" t="s">
        <v>59</v>
      </c>
      <c r="C121" s="321">
        <v>0</v>
      </c>
      <c r="D121" s="2">
        <v>0</v>
      </c>
      <c r="E121" s="2">
        <v>0</v>
      </c>
      <c r="F121" s="2">
        <v>0</v>
      </c>
      <c r="G121" s="2">
        <v>0</v>
      </c>
      <c r="H121" s="2">
        <v>0</v>
      </c>
      <c r="I121" s="321">
        <v>0</v>
      </c>
      <c r="J121" s="321">
        <v>0</v>
      </c>
      <c r="K121" s="2">
        <v>0</v>
      </c>
      <c r="L121" s="2">
        <v>0</v>
      </c>
      <c r="M121" s="2">
        <v>0</v>
      </c>
      <c r="N121" s="321">
        <v>0</v>
      </c>
      <c r="O121" s="321">
        <v>0</v>
      </c>
      <c r="P121" s="2">
        <v>0</v>
      </c>
      <c r="Q121" s="2">
        <v>0</v>
      </c>
      <c r="R121" s="321">
        <v>0</v>
      </c>
      <c r="S121" s="321">
        <v>0</v>
      </c>
      <c r="T121" s="321">
        <v>0</v>
      </c>
      <c r="U121" s="321">
        <v>0</v>
      </c>
      <c r="V121" s="634">
        <v>0</v>
      </c>
      <c r="W121" s="321">
        <v>0</v>
      </c>
      <c r="X121" s="634">
        <v>0</v>
      </c>
      <c r="Y121" s="321">
        <v>0</v>
      </c>
      <c r="Z121" s="749">
        <v>0</v>
      </c>
      <c r="AA121" s="108"/>
      <c r="AB121" s="108"/>
      <c r="AC121" s="108"/>
      <c r="AD121" s="108"/>
      <c r="AE121" s="108"/>
      <c r="AF121" s="108"/>
      <c r="AG121" s="430"/>
      <c r="AH121" s="108"/>
      <c r="AI121" s="108"/>
      <c r="AJ121" s="108"/>
      <c r="AK121" s="108"/>
      <c r="AL121" s="108"/>
      <c r="AM121" s="108"/>
      <c r="AN121" s="108"/>
      <c r="AO121" s="108"/>
      <c r="AP121" s="108"/>
      <c r="AQ121" s="108"/>
    </row>
    <row r="122" spans="1:43">
      <c r="A122" s="326"/>
      <c r="B122" s="32" t="s">
        <v>63</v>
      </c>
      <c r="C122" s="321">
        <v>0</v>
      </c>
      <c r="D122" s="2">
        <v>0</v>
      </c>
      <c r="E122" s="2">
        <v>0</v>
      </c>
      <c r="F122" s="2">
        <v>0</v>
      </c>
      <c r="G122" s="2">
        <v>0</v>
      </c>
      <c r="H122" s="2">
        <v>0</v>
      </c>
      <c r="I122" s="321">
        <v>0</v>
      </c>
      <c r="J122" s="321">
        <v>0</v>
      </c>
      <c r="K122" s="2">
        <v>0</v>
      </c>
      <c r="L122" s="2">
        <v>0</v>
      </c>
      <c r="M122" s="2">
        <v>0</v>
      </c>
      <c r="N122" s="321">
        <v>0</v>
      </c>
      <c r="O122" s="321">
        <v>0</v>
      </c>
      <c r="P122" s="2">
        <v>0</v>
      </c>
      <c r="Q122" s="2">
        <v>0</v>
      </c>
      <c r="R122" s="321">
        <v>0</v>
      </c>
      <c r="S122" s="321">
        <v>0</v>
      </c>
      <c r="T122" s="321">
        <v>0</v>
      </c>
      <c r="U122" s="321">
        <v>0</v>
      </c>
      <c r="V122" s="634">
        <v>0</v>
      </c>
      <c r="W122" s="321">
        <v>0</v>
      </c>
      <c r="X122" s="634">
        <v>0</v>
      </c>
      <c r="Y122" s="321">
        <v>0</v>
      </c>
      <c r="Z122" s="749">
        <v>0</v>
      </c>
      <c r="AA122" s="427"/>
      <c r="AB122" s="427"/>
      <c r="AC122" s="427"/>
      <c r="AD122" s="427"/>
      <c r="AE122" s="427"/>
      <c r="AF122" s="427"/>
      <c r="AG122" s="431"/>
      <c r="AH122" s="427"/>
      <c r="AI122" s="427"/>
      <c r="AJ122" s="427"/>
      <c r="AK122" s="427"/>
      <c r="AL122" s="427"/>
      <c r="AM122" s="427"/>
      <c r="AN122" s="427"/>
      <c r="AO122" s="427"/>
      <c r="AP122" s="427"/>
      <c r="AQ122" s="427"/>
    </row>
    <row r="123" spans="1:43">
      <c r="A123" s="326"/>
      <c r="B123" s="32" t="s">
        <v>67</v>
      </c>
      <c r="C123" s="321">
        <v>0</v>
      </c>
      <c r="D123" s="2">
        <v>0</v>
      </c>
      <c r="E123" s="2">
        <v>0</v>
      </c>
      <c r="F123" s="2">
        <v>0</v>
      </c>
      <c r="G123" s="2">
        <v>0</v>
      </c>
      <c r="H123" s="2">
        <v>0</v>
      </c>
      <c r="I123" s="321">
        <v>0</v>
      </c>
      <c r="J123" s="321">
        <v>0</v>
      </c>
      <c r="K123" s="2">
        <v>0</v>
      </c>
      <c r="L123" s="2">
        <v>0</v>
      </c>
      <c r="M123" s="2">
        <v>0</v>
      </c>
      <c r="N123" s="321">
        <v>0</v>
      </c>
      <c r="O123" s="321">
        <v>0</v>
      </c>
      <c r="P123" s="2">
        <v>0</v>
      </c>
      <c r="Q123" s="2">
        <v>0</v>
      </c>
      <c r="R123" s="321">
        <v>0</v>
      </c>
      <c r="S123" s="321">
        <v>0</v>
      </c>
      <c r="T123" s="321">
        <v>0</v>
      </c>
      <c r="U123" s="321">
        <v>0</v>
      </c>
      <c r="V123" s="634">
        <v>0</v>
      </c>
      <c r="W123" s="321">
        <v>0</v>
      </c>
      <c r="X123" s="634">
        <v>0</v>
      </c>
      <c r="Y123" s="321">
        <v>0</v>
      </c>
      <c r="Z123" s="749">
        <v>0</v>
      </c>
      <c r="AA123" s="426" t="str">
        <f t="shared" ref="AA123:AQ123" si="49">IF(D123&gt;0,D123,"—")</f>
        <v>—</v>
      </c>
      <c r="AB123" s="426" t="str">
        <f t="shared" si="49"/>
        <v>—</v>
      </c>
      <c r="AC123" s="426" t="str">
        <f t="shared" si="49"/>
        <v>—</v>
      </c>
      <c r="AD123" s="426" t="str">
        <f t="shared" si="49"/>
        <v>—</v>
      </c>
      <c r="AE123" s="426" t="str">
        <f t="shared" si="49"/>
        <v>—</v>
      </c>
      <c r="AF123" s="426" t="str">
        <f t="shared" si="49"/>
        <v>—</v>
      </c>
      <c r="AG123" s="429" t="str">
        <f t="shared" si="49"/>
        <v>—</v>
      </c>
      <c r="AH123" s="426" t="str">
        <f t="shared" si="49"/>
        <v>—</v>
      </c>
      <c r="AI123" s="426" t="str">
        <f t="shared" si="49"/>
        <v>—</v>
      </c>
      <c r="AJ123" s="426" t="str">
        <f t="shared" si="49"/>
        <v>—</v>
      </c>
      <c r="AK123" s="426" t="str">
        <f t="shared" si="49"/>
        <v>—</v>
      </c>
      <c r="AL123" s="426" t="str">
        <f t="shared" si="49"/>
        <v>—</v>
      </c>
      <c r="AM123" s="426" t="str">
        <f t="shared" si="49"/>
        <v>—</v>
      </c>
      <c r="AN123" s="426" t="str">
        <f t="shared" si="49"/>
        <v>—</v>
      </c>
      <c r="AO123" s="426" t="str">
        <f t="shared" si="49"/>
        <v>—</v>
      </c>
      <c r="AP123" s="426" t="str">
        <f t="shared" si="49"/>
        <v>—</v>
      </c>
      <c r="AQ123" s="426" t="str">
        <f t="shared" si="49"/>
        <v>—</v>
      </c>
    </row>
    <row r="124" spans="1:43" ht="13.5" thickBot="1">
      <c r="A124" s="326"/>
      <c r="B124" s="32" t="s">
        <v>836</v>
      </c>
      <c r="C124" s="321">
        <v>0</v>
      </c>
      <c r="D124" s="2">
        <v>0</v>
      </c>
      <c r="E124" s="2">
        <v>0</v>
      </c>
      <c r="F124" s="2">
        <v>0</v>
      </c>
      <c r="G124" s="2">
        <v>0</v>
      </c>
      <c r="H124" s="2">
        <v>0</v>
      </c>
      <c r="I124" s="321">
        <v>0</v>
      </c>
      <c r="J124" s="321">
        <v>0</v>
      </c>
      <c r="K124" s="2">
        <v>0</v>
      </c>
      <c r="L124" s="2">
        <v>0</v>
      </c>
      <c r="M124" s="2">
        <v>0</v>
      </c>
      <c r="N124" s="321">
        <v>0</v>
      </c>
      <c r="O124" s="321">
        <v>0</v>
      </c>
      <c r="P124" s="2">
        <v>0</v>
      </c>
      <c r="Q124" s="2">
        <v>0</v>
      </c>
      <c r="R124" s="321">
        <v>0</v>
      </c>
      <c r="S124" s="321">
        <v>0</v>
      </c>
      <c r="T124" s="321">
        <v>0</v>
      </c>
      <c r="U124" s="321">
        <v>0</v>
      </c>
      <c r="V124" s="634">
        <v>0</v>
      </c>
      <c r="W124" s="321">
        <v>0</v>
      </c>
      <c r="X124" s="634">
        <v>0</v>
      </c>
      <c r="Y124" s="321">
        <v>0</v>
      </c>
      <c r="Z124" s="749">
        <v>0</v>
      </c>
      <c r="AA124" s="640" t="str">
        <f t="shared" ref="AA124:AQ124" si="50">IF(OR((AA120="—"),(AA123="—")),"—",(AA123-AA120))</f>
        <v>—</v>
      </c>
      <c r="AB124" s="640" t="str">
        <f t="shared" si="50"/>
        <v>—</v>
      </c>
      <c r="AC124" s="640" t="str">
        <f t="shared" si="50"/>
        <v>—</v>
      </c>
      <c r="AD124" s="640" t="str">
        <f t="shared" si="50"/>
        <v>—</v>
      </c>
      <c r="AE124" s="640" t="str">
        <f t="shared" si="50"/>
        <v>—</v>
      </c>
      <c r="AF124" s="640" t="str">
        <f t="shared" si="50"/>
        <v>—</v>
      </c>
      <c r="AG124" s="641" t="str">
        <f t="shared" si="50"/>
        <v>—</v>
      </c>
      <c r="AH124" s="640" t="str">
        <f t="shared" si="50"/>
        <v>—</v>
      </c>
      <c r="AI124" s="640" t="str">
        <f t="shared" si="50"/>
        <v>—</v>
      </c>
      <c r="AJ124" s="640" t="str">
        <f t="shared" si="50"/>
        <v>—</v>
      </c>
      <c r="AK124" s="640" t="str">
        <f t="shared" si="50"/>
        <v>—</v>
      </c>
      <c r="AL124" s="640" t="str">
        <f t="shared" si="50"/>
        <v>—</v>
      </c>
      <c r="AM124" s="640" t="str">
        <f t="shared" si="50"/>
        <v>—</v>
      </c>
      <c r="AN124" s="640" t="str">
        <f t="shared" si="50"/>
        <v>—</v>
      </c>
      <c r="AO124" s="640" t="str">
        <f t="shared" si="50"/>
        <v>—</v>
      </c>
      <c r="AP124" s="640" t="str">
        <f t="shared" si="50"/>
        <v>—</v>
      </c>
      <c r="AQ124" s="640" t="str">
        <f t="shared" si="50"/>
        <v>—</v>
      </c>
    </row>
    <row r="125" spans="1:43" ht="15.75" thickBot="1">
      <c r="A125" s="772" t="s">
        <v>60</v>
      </c>
      <c r="B125" s="773"/>
      <c r="C125" s="323">
        <v>19573335.300000001</v>
      </c>
      <c r="D125" s="324">
        <v>4632314.5</v>
      </c>
      <c r="E125" s="324">
        <v>13217779.5</v>
      </c>
      <c r="F125" s="324">
        <v>4144631.9</v>
      </c>
      <c r="G125" s="324">
        <v>2877979</v>
      </c>
      <c r="H125" s="324">
        <v>1767398.6</v>
      </c>
      <c r="I125" s="323">
        <v>46213438.800000004</v>
      </c>
      <c r="J125" s="323">
        <v>15983194</v>
      </c>
      <c r="K125" s="324">
        <v>46076439.480000004</v>
      </c>
      <c r="L125" s="324">
        <v>16441538.35</v>
      </c>
      <c r="M125" s="324">
        <v>3856198.49</v>
      </c>
      <c r="N125" s="323">
        <v>82357370.319999993</v>
      </c>
      <c r="O125" s="323">
        <v>3295081.1</v>
      </c>
      <c r="P125" s="324">
        <v>123161.5</v>
      </c>
      <c r="Q125" s="324">
        <v>422560.5</v>
      </c>
      <c r="R125" s="323">
        <v>3840803.1</v>
      </c>
      <c r="S125" s="323">
        <v>0</v>
      </c>
      <c r="T125" s="323">
        <v>0</v>
      </c>
      <c r="U125" s="323">
        <v>1831774</v>
      </c>
      <c r="V125" s="633">
        <v>1831774</v>
      </c>
      <c r="W125" s="323">
        <v>395274</v>
      </c>
      <c r="X125" s="633">
        <v>395274</v>
      </c>
      <c r="Y125" s="323">
        <v>0</v>
      </c>
      <c r="Z125" s="748">
        <v>0</v>
      </c>
      <c r="AA125" s="642" t="str">
        <f t="shared" ref="AA125:AQ125" si="51">IF(COUNT(AA123,AA116,AA109,AA102,AA95,AA88,AA81,AA74,AA67,AA60,AA53,AA46,AA39,AA32,AA25,AA18,AA11)&lt;&gt;COUNT(AA8,AA15,AA22,AA29,AA36,AA43,AA50,AA57,AA64,AA71,AA78,AA85,AA92,AA99,AA106,AA113,AA120),"—",AA124)</f>
        <v>—</v>
      </c>
      <c r="AB125" s="642" t="str">
        <f t="shared" si="51"/>
        <v>—</v>
      </c>
      <c r="AC125" s="642" t="str">
        <f t="shared" si="51"/>
        <v>—</v>
      </c>
      <c r="AD125" s="642" t="str">
        <f t="shared" si="51"/>
        <v>—</v>
      </c>
      <c r="AE125" s="642" t="str">
        <f t="shared" si="51"/>
        <v>—</v>
      </c>
      <c r="AF125" s="642" t="str">
        <f t="shared" si="51"/>
        <v>—</v>
      </c>
      <c r="AG125" s="643" t="str">
        <f t="shared" si="51"/>
        <v>—</v>
      </c>
      <c r="AH125" s="642" t="str">
        <f t="shared" si="51"/>
        <v>—</v>
      </c>
      <c r="AI125" s="642" t="str">
        <f t="shared" si="51"/>
        <v>—</v>
      </c>
      <c r="AJ125" s="642" t="str">
        <f t="shared" si="51"/>
        <v>—</v>
      </c>
      <c r="AK125" s="642" t="str">
        <f t="shared" si="51"/>
        <v>—</v>
      </c>
      <c r="AL125" s="642" t="str">
        <f t="shared" si="51"/>
        <v>—</v>
      </c>
      <c r="AM125" s="642" t="str">
        <f t="shared" si="51"/>
        <v>—</v>
      </c>
      <c r="AN125" s="642" t="str">
        <f t="shared" si="51"/>
        <v>—</v>
      </c>
      <c r="AO125" s="642" t="str">
        <f t="shared" si="51"/>
        <v>—</v>
      </c>
      <c r="AP125" s="642" t="str">
        <f t="shared" si="51"/>
        <v>—</v>
      </c>
      <c r="AQ125" s="644" t="str">
        <f t="shared" si="51"/>
        <v>—</v>
      </c>
    </row>
    <row r="126" spans="1:43">
      <c r="A126" s="772" t="s">
        <v>68</v>
      </c>
      <c r="B126" s="773"/>
      <c r="C126" s="323">
        <v>42712</v>
      </c>
      <c r="D126" s="324">
        <v>30856</v>
      </c>
      <c r="E126" s="324">
        <v>89225</v>
      </c>
      <c r="F126" s="324">
        <v>36119</v>
      </c>
      <c r="G126" s="324">
        <v>18449</v>
      </c>
      <c r="H126" s="324">
        <v>23747</v>
      </c>
      <c r="I126" s="323">
        <v>241108</v>
      </c>
      <c r="J126" s="323">
        <v>208271</v>
      </c>
      <c r="K126" s="324">
        <v>1137556.3</v>
      </c>
      <c r="L126" s="324">
        <v>888803.2</v>
      </c>
      <c r="M126" s="324">
        <v>261281.59999999992</v>
      </c>
      <c r="N126" s="323">
        <v>2495912.1</v>
      </c>
      <c r="O126" s="323">
        <v>109836.6</v>
      </c>
      <c r="P126" s="324">
        <v>7956</v>
      </c>
      <c r="Q126" s="324">
        <v>48788</v>
      </c>
      <c r="R126" s="323">
        <v>166580.6</v>
      </c>
      <c r="S126" s="323">
        <v>0</v>
      </c>
      <c r="T126" s="323">
        <v>0</v>
      </c>
      <c r="U126" s="323">
        <v>107344</v>
      </c>
      <c r="V126" s="633">
        <v>107344</v>
      </c>
      <c r="W126" s="323">
        <v>29313</v>
      </c>
      <c r="X126" s="633">
        <v>29313</v>
      </c>
      <c r="Y126" s="323">
        <v>0</v>
      </c>
      <c r="Z126" s="748">
        <v>0</v>
      </c>
    </row>
    <row r="127" spans="1:43">
      <c r="A127" s="772" t="s">
        <v>70</v>
      </c>
      <c r="B127" s="773"/>
      <c r="C127" s="754">
        <v>2.1821523693000854E-3</v>
      </c>
      <c r="D127" s="755">
        <v>6.6610330537790561E-3</v>
      </c>
      <c r="E127" s="755">
        <v>6.7503773988664287E-3</v>
      </c>
      <c r="F127" s="755">
        <v>8.7146460461301756E-3</v>
      </c>
      <c r="G127" s="755">
        <v>6.4104011877779508E-3</v>
      </c>
      <c r="H127" s="755">
        <v>1.3436131498576495E-2</v>
      </c>
      <c r="I127" s="754">
        <v>5.2172702629521691E-3</v>
      </c>
      <c r="J127" s="754">
        <v>1.303062454225357E-2</v>
      </c>
      <c r="K127" s="755">
        <v>2.4688459282835192E-2</v>
      </c>
      <c r="L127" s="755">
        <v>5.405839654900662E-2</v>
      </c>
      <c r="M127" s="755">
        <v>6.7756263241522063E-2</v>
      </c>
      <c r="N127" s="754">
        <v>3.0305874147051083E-2</v>
      </c>
      <c r="O127" s="754">
        <v>3.3333504295235711E-2</v>
      </c>
      <c r="P127" s="755">
        <v>6.4598108986980513E-2</v>
      </c>
      <c r="Q127" s="755">
        <v>0.11545802317064657</v>
      </c>
      <c r="R127" s="754">
        <v>4.3371293883823415E-2</v>
      </c>
      <c r="S127" s="754">
        <v>0</v>
      </c>
      <c r="T127" s="754">
        <v>0</v>
      </c>
      <c r="U127" s="754">
        <v>5.8601115639811463E-2</v>
      </c>
      <c r="V127" s="778">
        <v>5.8601115639811463E-2</v>
      </c>
      <c r="W127" s="754">
        <v>7.4158684861640276E-2</v>
      </c>
      <c r="X127" s="778">
        <v>7.4158684861640276E-2</v>
      </c>
      <c r="Y127" s="754">
        <v>0</v>
      </c>
      <c r="Z127" s="756">
        <v>0</v>
      </c>
    </row>
    <row r="128" spans="1:43">
      <c r="A128" s="772" t="s">
        <v>61</v>
      </c>
      <c r="B128" s="773"/>
      <c r="C128" s="323">
        <v>19926035</v>
      </c>
      <c r="D128" s="324">
        <v>4771457.5</v>
      </c>
      <c r="E128" s="324">
        <v>13844460</v>
      </c>
      <c r="F128" s="324">
        <v>4276322</v>
      </c>
      <c r="G128" s="324">
        <v>3055181</v>
      </c>
      <c r="H128" s="324">
        <v>1872344</v>
      </c>
      <c r="I128" s="323">
        <v>47745799.5</v>
      </c>
      <c r="J128" s="323">
        <v>15315272</v>
      </c>
      <c r="K128" s="324">
        <v>47892775</v>
      </c>
      <c r="L128" s="324">
        <v>17838049</v>
      </c>
      <c r="M128" s="324">
        <v>4338015.7</v>
      </c>
      <c r="N128" s="323">
        <v>85384111.700000003</v>
      </c>
      <c r="O128" s="323">
        <v>3965770.9</v>
      </c>
      <c r="P128" s="324">
        <v>152661.29999999999</v>
      </c>
      <c r="Q128" s="324">
        <v>498668.5</v>
      </c>
      <c r="R128" s="323">
        <v>4617100.6999999993</v>
      </c>
      <c r="S128" s="323">
        <v>58167</v>
      </c>
      <c r="T128" s="323">
        <v>58167</v>
      </c>
      <c r="U128" s="323">
        <v>2009876</v>
      </c>
      <c r="V128" s="633">
        <v>2009876</v>
      </c>
      <c r="W128" s="323">
        <v>451914</v>
      </c>
      <c r="X128" s="633">
        <v>451914</v>
      </c>
      <c r="Y128" s="323">
        <v>0</v>
      </c>
      <c r="Z128" s="748">
        <v>0</v>
      </c>
    </row>
    <row r="129" spans="1:26">
      <c r="A129" s="772" t="s">
        <v>69</v>
      </c>
      <c r="B129" s="773"/>
      <c r="C129" s="323">
        <v>49892.5</v>
      </c>
      <c r="D129" s="324">
        <v>44194</v>
      </c>
      <c r="E129" s="324">
        <v>100038</v>
      </c>
      <c r="F129" s="324">
        <v>45207</v>
      </c>
      <c r="G129" s="324">
        <v>20028</v>
      </c>
      <c r="H129" s="324">
        <v>24627</v>
      </c>
      <c r="I129" s="323">
        <v>283986.5</v>
      </c>
      <c r="J129" s="323">
        <v>237312</v>
      </c>
      <c r="K129" s="324">
        <v>1310785.3</v>
      </c>
      <c r="L129" s="324">
        <v>1044749.3</v>
      </c>
      <c r="M129" s="324">
        <v>321910.3</v>
      </c>
      <c r="N129" s="323">
        <v>2914756.9</v>
      </c>
      <c r="O129" s="323">
        <v>94096.5</v>
      </c>
      <c r="P129" s="324">
        <v>9376.6</v>
      </c>
      <c r="Q129" s="324">
        <v>76133</v>
      </c>
      <c r="R129" s="323">
        <v>179606.1</v>
      </c>
      <c r="S129" s="323">
        <v>458</v>
      </c>
      <c r="T129" s="323">
        <v>458</v>
      </c>
      <c r="U129" s="323">
        <v>127542</v>
      </c>
      <c r="V129" s="633">
        <v>127542</v>
      </c>
      <c r="W129" s="323">
        <v>40812</v>
      </c>
      <c r="X129" s="633">
        <v>40812</v>
      </c>
      <c r="Y129" s="323">
        <v>0</v>
      </c>
      <c r="Z129" s="748">
        <v>0</v>
      </c>
    </row>
    <row r="130" spans="1:26">
      <c r="A130" s="772" t="s">
        <v>71</v>
      </c>
      <c r="B130" s="773"/>
      <c r="C130" s="323">
        <v>2.5038849926741573E-3</v>
      </c>
      <c r="D130" s="324">
        <v>9.2621594135544535E-3</v>
      </c>
      <c r="E130" s="324">
        <v>7.225850629060288E-3</v>
      </c>
      <c r="F130" s="755">
        <v>1.0571467723899183E-2</v>
      </c>
      <c r="G130" s="324">
        <v>6.5554217573361448E-3</v>
      </c>
      <c r="H130" s="324">
        <v>1.3153031707848558E-2</v>
      </c>
      <c r="I130" s="323">
        <v>5.947884483534515E-3</v>
      </c>
      <c r="J130" s="323">
        <v>1.5495121470908254E-2</v>
      </c>
      <c r="K130" s="324">
        <v>2.7369165808412647E-2</v>
      </c>
      <c r="L130" s="324">
        <v>5.8568585611576691E-2</v>
      </c>
      <c r="M130" s="324">
        <v>7.4206808426258111E-2</v>
      </c>
      <c r="N130" s="323">
        <v>3.4136993896957062E-2</v>
      </c>
      <c r="O130" s="323">
        <v>2.372716487480404E-2</v>
      </c>
      <c r="P130" s="324">
        <v>6.1420936412830238E-2</v>
      </c>
      <c r="Q130" s="324">
        <v>0.15267256704604362</v>
      </c>
      <c r="R130" s="323">
        <v>3.8900191195743256E-2</v>
      </c>
      <c r="S130" s="323">
        <v>7.8738803789090029E-3</v>
      </c>
      <c r="T130" s="323">
        <v>7.8738803789090029E-3</v>
      </c>
      <c r="U130" s="323">
        <v>6.3457646143344162E-2</v>
      </c>
      <c r="V130" s="633">
        <v>6.3457646143344162E-2</v>
      </c>
      <c r="W130" s="323">
        <v>9.0309218125572563E-2</v>
      </c>
      <c r="X130" s="633">
        <v>9.0309218125572563E-2</v>
      </c>
      <c r="Y130" s="323">
        <v>0</v>
      </c>
      <c r="Z130" s="748">
        <v>0</v>
      </c>
    </row>
    <row r="131" spans="1:26">
      <c r="A131" s="772" t="s">
        <v>837</v>
      </c>
      <c r="B131" s="773"/>
      <c r="C131" s="767">
        <v>3.217326233740719E-4</v>
      </c>
      <c r="D131" s="768">
        <v>2.6011263597753975E-3</v>
      </c>
      <c r="E131" s="768">
        <v>4.7547323019385933E-4</v>
      </c>
      <c r="F131" s="768">
        <v>1.8568216777690074E-3</v>
      </c>
      <c r="G131" s="768">
        <v>1.4502056955819406E-4</v>
      </c>
      <c r="H131" s="768">
        <v>-2.8309979072793645E-4</v>
      </c>
      <c r="I131" s="767">
        <v>7.3061422058234588E-4</v>
      </c>
      <c r="J131" s="769">
        <v>2.4644969286546844E-3</v>
      </c>
      <c r="K131" s="770">
        <v>2.6807065255774545E-3</v>
      </c>
      <c r="L131" s="770">
        <v>4.5101890625700719E-3</v>
      </c>
      <c r="M131" s="770">
        <v>6.4505451847360479E-3</v>
      </c>
      <c r="N131" s="767">
        <v>3.8311197499059785E-3</v>
      </c>
      <c r="O131" s="769">
        <v>-9.6063394204316706E-3</v>
      </c>
      <c r="P131" s="770">
        <v>-3.1771725741502749E-3</v>
      </c>
      <c r="Q131" s="770">
        <v>3.7214543875397049E-2</v>
      </c>
      <c r="R131" s="767">
        <v>-4.4711026880801599E-3</v>
      </c>
      <c r="S131" s="769">
        <v>7.8738803789090029E-3</v>
      </c>
      <c r="T131" s="767">
        <v>7.8738803789090029E-3</v>
      </c>
      <c r="U131" s="769">
        <v>4.8565305035326994E-3</v>
      </c>
      <c r="V131" s="779">
        <v>4.8565305035326994E-3</v>
      </c>
      <c r="W131" s="769">
        <v>1.6150533263932287E-2</v>
      </c>
      <c r="X131" s="779">
        <v>1.6150533263932287E-2</v>
      </c>
      <c r="Y131" s="769">
        <v>0</v>
      </c>
      <c r="Z131" s="771">
        <v>0</v>
      </c>
    </row>
    <row r="132" spans="1:26">
      <c r="A132"/>
      <c r="B132"/>
      <c r="C132"/>
      <c r="D132"/>
      <c r="E132"/>
      <c r="F132"/>
      <c r="G132"/>
      <c r="H132"/>
      <c r="I132"/>
      <c r="J132"/>
      <c r="K132"/>
      <c r="L132"/>
      <c r="M132"/>
      <c r="N132"/>
      <c r="O132"/>
      <c r="P132"/>
      <c r="Q132"/>
      <c r="R132"/>
      <c r="S132"/>
      <c r="T132"/>
    </row>
    <row r="133" spans="1:26">
      <c r="A133"/>
      <c r="B133"/>
      <c r="C133"/>
      <c r="D133"/>
      <c r="E133"/>
      <c r="F133"/>
      <c r="G133"/>
      <c r="H133"/>
      <c r="I133"/>
      <c r="J133"/>
      <c r="K133"/>
      <c r="L133"/>
      <c r="M133"/>
      <c r="N133"/>
      <c r="O133"/>
      <c r="P133"/>
      <c r="Q133"/>
      <c r="R133"/>
      <c r="S133"/>
      <c r="T133"/>
    </row>
    <row r="134" spans="1:26">
      <c r="A134"/>
      <c r="B134"/>
      <c r="C134"/>
      <c r="D134"/>
      <c r="E134"/>
      <c r="F134"/>
      <c r="G134"/>
      <c r="H134"/>
      <c r="I134"/>
      <c r="J134"/>
      <c r="K134"/>
      <c r="L134"/>
      <c r="M134"/>
      <c r="N134"/>
      <c r="O134"/>
      <c r="P134"/>
      <c r="Q134"/>
      <c r="R134"/>
      <c r="S134"/>
      <c r="T134"/>
    </row>
    <row r="135" spans="1:26">
      <c r="A135"/>
      <c r="B135"/>
      <c r="C135"/>
      <c r="D135"/>
      <c r="E135"/>
      <c r="F135"/>
      <c r="G135"/>
      <c r="H135"/>
      <c r="I135"/>
      <c r="J135"/>
      <c r="K135"/>
      <c r="L135"/>
      <c r="M135"/>
      <c r="N135"/>
      <c r="O135"/>
      <c r="P135"/>
      <c r="Q135"/>
      <c r="R135"/>
      <c r="S135"/>
      <c r="T135"/>
    </row>
    <row r="136" spans="1:26">
      <c r="A136"/>
      <c r="B136"/>
      <c r="C136"/>
      <c r="D136"/>
      <c r="E136"/>
      <c r="F136"/>
      <c r="G136"/>
      <c r="H136"/>
      <c r="I136"/>
      <c r="J136"/>
      <c r="K136"/>
      <c r="L136"/>
      <c r="M136"/>
      <c r="N136"/>
      <c r="O136"/>
      <c r="P136"/>
      <c r="Q136"/>
      <c r="R136"/>
      <c r="S136"/>
      <c r="T136"/>
    </row>
    <row r="137" spans="1:26">
      <c r="A137"/>
      <c r="B137"/>
      <c r="C137"/>
      <c r="D137"/>
      <c r="E137"/>
      <c r="F137"/>
      <c r="G137"/>
      <c r="H137"/>
      <c r="I137"/>
      <c r="J137"/>
      <c r="K137"/>
      <c r="L137"/>
      <c r="M137"/>
      <c r="N137"/>
      <c r="O137"/>
      <c r="P137"/>
      <c r="Q137"/>
      <c r="R137"/>
      <c r="S137"/>
      <c r="T137"/>
    </row>
    <row r="138" spans="1:26">
      <c r="A138"/>
      <c r="B138"/>
      <c r="C138"/>
      <c r="D138"/>
      <c r="E138"/>
      <c r="F138"/>
      <c r="G138"/>
      <c r="H138"/>
      <c r="I138"/>
      <c r="J138"/>
      <c r="K138"/>
      <c r="L138"/>
      <c r="M138"/>
      <c r="N138"/>
      <c r="O138"/>
      <c r="P138"/>
      <c r="Q138"/>
      <c r="R138"/>
      <c r="S138"/>
      <c r="T138"/>
    </row>
    <row r="139" spans="1:26">
      <c r="A139"/>
      <c r="B139"/>
      <c r="C139"/>
      <c r="D139"/>
      <c r="E139"/>
      <c r="F139"/>
      <c r="G139"/>
      <c r="H139"/>
      <c r="I139"/>
      <c r="J139"/>
      <c r="K139"/>
      <c r="L139"/>
      <c r="M139"/>
      <c r="N139"/>
      <c r="O139"/>
      <c r="P139"/>
      <c r="Q139"/>
      <c r="R139"/>
      <c r="S139"/>
      <c r="T139"/>
    </row>
    <row r="140" spans="1:26">
      <c r="A140"/>
      <c r="B140"/>
      <c r="C140"/>
      <c r="D140"/>
      <c r="E140"/>
      <c r="F140"/>
      <c r="G140"/>
      <c r="H140"/>
      <c r="I140"/>
      <c r="J140"/>
      <c r="K140"/>
      <c r="L140"/>
      <c r="M140"/>
      <c r="N140"/>
      <c r="O140"/>
      <c r="P140"/>
      <c r="Q140"/>
      <c r="R140"/>
      <c r="S140"/>
      <c r="T140"/>
    </row>
    <row r="141" spans="1:26">
      <c r="A141"/>
      <c r="B141"/>
      <c r="C141"/>
      <c r="D141"/>
      <c r="E141"/>
      <c r="F141"/>
      <c r="G141"/>
      <c r="H141"/>
      <c r="I141"/>
      <c r="J141"/>
      <c r="K141"/>
      <c r="L141"/>
      <c r="M141"/>
      <c r="N141"/>
      <c r="O141"/>
      <c r="P141"/>
      <c r="Q141"/>
      <c r="R141"/>
      <c r="S141"/>
      <c r="T141"/>
    </row>
  </sheetData>
  <phoneticPr fontId="0" type="noConversion"/>
  <pageMargins left="0.7" right="0.7" top="0.75" bottom="0.75" header="0.3" footer="0.3"/>
  <pageSetup scale="77" pageOrder="overThenDown" orientation="landscape" r:id="rId2"/>
  <headerFooter>
    <oddHeader>&amp;L&amp;"Arial,Bold"SREB-State Data Exchange&amp;C&amp;"Arial,Bold"Preliminary Tables&amp;R&amp;"Arial,Bold"Part 4  -- High School Student Portion of FTE Enrollment</oddHeader>
    <oddFooter>&amp;L&amp;"Arial,Bold"For Agency Review Only&amp;R&amp;"Arial,Bold"October 2009</oddFooter>
  </headerFooter>
  <rowBreaks count="15" manualBreakCount="15">
    <brk id="11" min="2" max="23" man="1"/>
    <brk id="17" min="2" max="23" man="1"/>
    <brk id="23" min="2" max="23" man="1"/>
    <brk id="29" min="2" max="23" man="1"/>
    <brk id="35" min="2" max="23" man="1"/>
    <brk id="41" min="2" max="23" man="1"/>
    <brk id="47" min="2" max="23" man="1"/>
    <brk id="53" min="2" max="23" man="1"/>
    <brk id="59" min="2" max="23" man="1"/>
    <brk id="65" min="2" max="23" man="1"/>
    <brk id="71" min="2" max="23" man="1"/>
    <brk id="77" min="2" max="23" man="1"/>
    <brk id="83" min="2" max="23" man="1"/>
    <brk id="89" min="2" max="23" man="1"/>
    <brk id="95" min="2" max="23" man="1"/>
  </rowBreaks>
  <colBreaks count="1" manualBreakCount="1">
    <brk id="9" min="5" max="100" man="1"/>
  </colBreaks>
  <legacyDrawing r:id="rId3"/>
</worksheet>
</file>

<file path=xl/worksheets/sheet5.xml><?xml version="1.0" encoding="utf-8"?>
<worksheet xmlns="http://schemas.openxmlformats.org/spreadsheetml/2006/main" xmlns:r="http://schemas.openxmlformats.org/officeDocument/2006/relationships">
  <sheetPr codeName="Sheet1" enableFormatConditionsCalculation="0">
    <tabColor indexed="12"/>
  </sheetPr>
  <dimension ref="A1:BA730"/>
  <sheetViews>
    <sheetView zoomScale="80" zoomScaleNormal="80" zoomScaleSheetLayoutView="100" workbookViewId="0">
      <pane xSplit="4" ySplit="4" topLeftCell="AB473" activePane="bottomRight" state="frozen"/>
      <selection pane="topRight" activeCell="E1" sqref="E1"/>
      <selection pane="bottomLeft" activeCell="A5" sqref="A5"/>
      <selection pane="bottomRight" activeCell="A394" sqref="A394:XFD403"/>
    </sheetView>
  </sheetViews>
  <sheetFormatPr defaultRowHeight="12.75"/>
  <cols>
    <col min="1" max="1" width="6.5" style="260" customWidth="1"/>
    <col min="2" max="2" width="59.5" style="260" customWidth="1"/>
    <col min="3" max="3" width="11.1640625" style="262" customWidth="1"/>
    <col min="4" max="4" width="7.6640625" style="263" customWidth="1"/>
    <col min="5" max="5" width="10.6640625" style="264" customWidth="1"/>
    <col min="6" max="6" width="11" style="265" customWidth="1"/>
    <col min="7" max="7" width="10.83203125" style="266" customWidth="1"/>
    <col min="8" max="8" width="10.83203125" style="261" customWidth="1"/>
    <col min="9" max="9" width="12.6640625" style="266" customWidth="1"/>
    <col min="10" max="10" width="14.5" style="261" bestFit="1" customWidth="1"/>
    <col min="11" max="11" width="12.33203125" style="266" customWidth="1"/>
    <col min="12" max="12" width="12.1640625" style="261" customWidth="1"/>
    <col min="13" max="13" width="13.33203125" style="266" customWidth="1"/>
    <col min="14" max="14" width="14.5" style="261" bestFit="1" customWidth="1"/>
    <col min="15" max="15" width="16.5" style="266" bestFit="1" customWidth="1"/>
    <col min="16" max="16" width="10.83203125" style="266" customWidth="1"/>
    <col min="17" max="17" width="16.5" style="261" bestFit="1" customWidth="1"/>
    <col min="18" max="18" width="10.83203125" style="261" customWidth="1"/>
    <col min="19" max="19" width="13.33203125" style="261" customWidth="1"/>
    <col min="20" max="20" width="13.83203125" style="261" customWidth="1"/>
    <col min="21" max="22" width="12.6640625" style="266" customWidth="1"/>
    <col min="23" max="23" width="10.83203125" style="266" customWidth="1"/>
    <col min="24" max="24" width="10.83203125" style="261" customWidth="1"/>
    <col min="25" max="25" width="10.83203125" style="266" customWidth="1"/>
    <col min="26" max="26" width="11.83203125" style="261" customWidth="1"/>
    <col min="27" max="27" width="12.33203125" style="266" customWidth="1"/>
    <col min="28" max="28" width="12.33203125" style="261" customWidth="1"/>
    <col min="29" max="29" width="12.33203125" style="266" customWidth="1"/>
    <col min="30" max="30" width="12.33203125" style="261" customWidth="1"/>
    <col min="31" max="31" width="12.6640625" style="266" customWidth="1"/>
    <col min="32" max="32" width="12" style="266" customWidth="1"/>
    <col min="33" max="33" width="13" style="261" customWidth="1"/>
    <col min="34" max="34" width="10.83203125" style="261" customWidth="1"/>
    <col min="35" max="35" width="12.33203125" style="261" customWidth="1"/>
    <col min="36" max="36" width="12" style="261" customWidth="1"/>
    <col min="37" max="38" width="12.6640625" style="266" customWidth="1"/>
    <col min="39" max="39" width="10.83203125" style="266" customWidth="1"/>
    <col min="40" max="40" width="10.83203125" style="261" customWidth="1"/>
    <col min="41" max="41" width="10.83203125" style="266" customWidth="1"/>
    <col min="42" max="42" width="10.83203125" style="261" customWidth="1"/>
    <col min="43" max="43" width="10.83203125" style="266" customWidth="1"/>
    <col min="44" max="44" width="10.83203125" style="261" customWidth="1"/>
    <col min="45" max="45" width="10.83203125" style="266" customWidth="1"/>
    <col min="46" max="46" width="10.83203125" style="261" customWidth="1"/>
    <col min="47" max="47" width="12.5" style="266" customWidth="1"/>
    <col min="48" max="48" width="10.83203125" style="266" customWidth="1"/>
    <col min="49" max="49" width="12.5" style="261" customWidth="1"/>
    <col min="50" max="52" width="10.83203125" style="260" customWidth="1"/>
    <col min="53" max="16384" width="9.33203125" style="260"/>
  </cols>
  <sheetData>
    <row r="1" spans="1:53" s="73" customFormat="1" ht="23.25" customHeight="1">
      <c r="A1" s="212"/>
      <c r="B1" s="213" t="s">
        <v>789</v>
      </c>
      <c r="C1" s="214"/>
      <c r="D1" s="215"/>
      <c r="E1" s="216"/>
      <c r="F1" s="217"/>
      <c r="G1" s="218" t="s">
        <v>465</v>
      </c>
      <c r="H1" s="217"/>
      <c r="I1" s="218"/>
      <c r="J1" s="217"/>
      <c r="K1" s="362"/>
      <c r="L1" s="217"/>
      <c r="M1" s="362"/>
      <c r="N1" s="217"/>
      <c r="O1" s="219" t="s">
        <v>468</v>
      </c>
      <c r="P1" s="220" t="s">
        <v>468</v>
      </c>
      <c r="Q1" s="219" t="s">
        <v>468</v>
      </c>
      <c r="R1" s="219" t="s">
        <v>468</v>
      </c>
      <c r="S1" s="362"/>
      <c r="T1" s="217"/>
      <c r="U1" s="219" t="s">
        <v>468</v>
      </c>
      <c r="V1" s="220" t="s">
        <v>468</v>
      </c>
      <c r="W1" s="218" t="s">
        <v>466</v>
      </c>
      <c r="X1" s="217"/>
      <c r="Y1" s="218"/>
      <c r="Z1" s="217"/>
      <c r="AA1" s="218"/>
      <c r="AB1" s="217"/>
      <c r="AC1" s="218"/>
      <c r="AD1" s="217"/>
      <c r="AE1" s="219" t="s">
        <v>468</v>
      </c>
      <c r="AF1" s="220" t="s">
        <v>468</v>
      </c>
      <c r="AG1" s="219" t="s">
        <v>468</v>
      </c>
      <c r="AH1" s="454" t="s">
        <v>468</v>
      </c>
      <c r="AI1" s="218"/>
      <c r="AJ1" s="217"/>
      <c r="AK1" s="219" t="s">
        <v>468</v>
      </c>
      <c r="AL1" s="220" t="s">
        <v>468</v>
      </c>
      <c r="AM1" s="218" t="s">
        <v>467</v>
      </c>
      <c r="AN1" s="217"/>
      <c r="AO1" s="218"/>
      <c r="AP1" s="455"/>
      <c r="AQ1" s="218"/>
      <c r="AR1" s="455"/>
      <c r="AS1" s="218"/>
      <c r="AT1" s="455"/>
      <c r="AU1" s="219" t="s">
        <v>468</v>
      </c>
      <c r="AV1" s="220"/>
      <c r="AW1" s="219" t="s">
        <v>468</v>
      </c>
      <c r="AX1" s="220"/>
      <c r="AY1" s="221" t="s">
        <v>468</v>
      </c>
      <c r="AZ1" s="222"/>
    </row>
    <row r="2" spans="1:53" s="73" customFormat="1" ht="170.25" customHeight="1">
      <c r="A2" s="210"/>
      <c r="B2" s="223"/>
      <c r="C2" s="211" t="s">
        <v>469</v>
      </c>
      <c r="D2" s="224"/>
      <c r="E2" s="456" t="s">
        <v>839</v>
      </c>
      <c r="F2" s="457" t="s">
        <v>839</v>
      </c>
      <c r="G2" s="225" t="s">
        <v>470</v>
      </c>
      <c r="H2" s="226" t="s">
        <v>470</v>
      </c>
      <c r="I2" s="225" t="s">
        <v>471</v>
      </c>
      <c r="J2" s="226" t="s">
        <v>471</v>
      </c>
      <c r="K2" s="225" t="s">
        <v>472</v>
      </c>
      <c r="L2" s="226" t="s">
        <v>472</v>
      </c>
      <c r="M2" s="225" t="s">
        <v>473</v>
      </c>
      <c r="N2" s="226" t="s">
        <v>473</v>
      </c>
      <c r="O2" s="227" t="s">
        <v>474</v>
      </c>
      <c r="P2" s="88" t="s">
        <v>500</v>
      </c>
      <c r="Q2" s="228" t="s">
        <v>474</v>
      </c>
      <c r="R2" s="229" t="s">
        <v>500</v>
      </c>
      <c r="S2" s="458" t="s">
        <v>823</v>
      </c>
      <c r="T2" s="459" t="s">
        <v>823</v>
      </c>
      <c r="U2" s="432" t="s">
        <v>838</v>
      </c>
      <c r="V2" s="433" t="s">
        <v>838</v>
      </c>
      <c r="W2" s="225" t="s">
        <v>470</v>
      </c>
      <c r="X2" s="226" t="s">
        <v>470</v>
      </c>
      <c r="Y2" s="225" t="s">
        <v>471</v>
      </c>
      <c r="Z2" s="226" t="s">
        <v>471</v>
      </c>
      <c r="AA2" s="225" t="s">
        <v>472</v>
      </c>
      <c r="AB2" s="226" t="s">
        <v>472</v>
      </c>
      <c r="AC2" s="225" t="s">
        <v>473</v>
      </c>
      <c r="AD2" s="226" t="s">
        <v>473</v>
      </c>
      <c r="AE2" s="227" t="s">
        <v>474</v>
      </c>
      <c r="AF2" s="88" t="s">
        <v>500</v>
      </c>
      <c r="AG2" s="228" t="s">
        <v>474</v>
      </c>
      <c r="AH2" s="230" t="s">
        <v>500</v>
      </c>
      <c r="AI2" s="458" t="s">
        <v>823</v>
      </c>
      <c r="AJ2" s="459" t="s">
        <v>823</v>
      </c>
      <c r="AK2" s="432" t="s">
        <v>838</v>
      </c>
      <c r="AL2" s="433" t="s">
        <v>838</v>
      </c>
      <c r="AM2" s="225" t="s">
        <v>470</v>
      </c>
      <c r="AN2" s="226" t="s">
        <v>470</v>
      </c>
      <c r="AO2" s="225" t="s">
        <v>471</v>
      </c>
      <c r="AP2" s="460" t="s">
        <v>471</v>
      </c>
      <c r="AQ2" s="225" t="s">
        <v>472</v>
      </c>
      <c r="AR2" s="460" t="s">
        <v>472</v>
      </c>
      <c r="AS2" s="225" t="s">
        <v>473</v>
      </c>
      <c r="AT2" s="460" t="s">
        <v>473</v>
      </c>
      <c r="AU2" s="227" t="s">
        <v>474</v>
      </c>
      <c r="AV2" s="231" t="s">
        <v>500</v>
      </c>
      <c r="AW2" s="228" t="s">
        <v>474</v>
      </c>
      <c r="AX2" s="229" t="s">
        <v>500</v>
      </c>
      <c r="AY2" s="232" t="s">
        <v>377</v>
      </c>
      <c r="AZ2" s="233" t="s">
        <v>377</v>
      </c>
    </row>
    <row r="3" spans="1:53" s="147" customFormat="1">
      <c r="A3" s="234" t="s">
        <v>463</v>
      </c>
      <c r="B3" s="234" t="s">
        <v>460</v>
      </c>
      <c r="C3" s="235" t="s">
        <v>461</v>
      </c>
      <c r="D3" s="236" t="s">
        <v>462</v>
      </c>
      <c r="E3" s="237" t="s">
        <v>475</v>
      </c>
      <c r="F3" s="238" t="s">
        <v>475</v>
      </c>
      <c r="G3" s="239">
        <v>2008</v>
      </c>
      <c r="H3" s="240">
        <v>2009</v>
      </c>
      <c r="I3" s="239">
        <v>2008</v>
      </c>
      <c r="J3" s="240">
        <v>2009</v>
      </c>
      <c r="K3" s="239">
        <v>2008</v>
      </c>
      <c r="L3" s="240">
        <v>2009</v>
      </c>
      <c r="M3" s="239">
        <v>2008</v>
      </c>
      <c r="N3" s="240">
        <v>2009</v>
      </c>
      <c r="O3" s="241">
        <v>2008</v>
      </c>
      <c r="P3" s="242">
        <v>2008</v>
      </c>
      <c r="Q3" s="243">
        <v>2009</v>
      </c>
      <c r="R3" s="244">
        <v>2009</v>
      </c>
      <c r="S3" s="239">
        <v>2008</v>
      </c>
      <c r="T3" s="240">
        <v>2009</v>
      </c>
      <c r="U3" s="241">
        <v>2008</v>
      </c>
      <c r="V3" s="246">
        <v>2009</v>
      </c>
      <c r="W3" s="239">
        <v>2008</v>
      </c>
      <c r="X3" s="240">
        <v>2009</v>
      </c>
      <c r="Y3" s="239">
        <v>2008</v>
      </c>
      <c r="Z3" s="240">
        <v>2009</v>
      </c>
      <c r="AA3" s="239">
        <v>2008</v>
      </c>
      <c r="AB3" s="240">
        <v>2009</v>
      </c>
      <c r="AC3" s="239">
        <v>2008</v>
      </c>
      <c r="AD3" s="240">
        <v>2009</v>
      </c>
      <c r="AE3" s="241">
        <v>2008</v>
      </c>
      <c r="AF3" s="245">
        <v>2008</v>
      </c>
      <c r="AG3" s="243">
        <v>2009</v>
      </c>
      <c r="AH3" s="246">
        <v>2009</v>
      </c>
      <c r="AI3" s="239">
        <v>2008</v>
      </c>
      <c r="AJ3" s="240">
        <v>2009</v>
      </c>
      <c r="AK3" s="241">
        <v>2008</v>
      </c>
      <c r="AL3" s="246">
        <v>2009</v>
      </c>
      <c r="AM3" s="239">
        <v>2008</v>
      </c>
      <c r="AN3" s="240">
        <v>2009</v>
      </c>
      <c r="AO3" s="239">
        <v>2008</v>
      </c>
      <c r="AP3" s="461">
        <v>2009</v>
      </c>
      <c r="AQ3" s="239">
        <v>2008</v>
      </c>
      <c r="AR3" s="461">
        <v>2009</v>
      </c>
      <c r="AS3" s="239">
        <v>2008</v>
      </c>
      <c r="AT3" s="461">
        <v>2009</v>
      </c>
      <c r="AU3" s="241">
        <v>2008</v>
      </c>
      <c r="AV3" s="245">
        <v>2008</v>
      </c>
      <c r="AW3" s="243">
        <v>2009</v>
      </c>
      <c r="AX3" s="244">
        <v>2009</v>
      </c>
      <c r="AY3" s="247">
        <v>2008</v>
      </c>
      <c r="AZ3" s="244">
        <v>2009</v>
      </c>
    </row>
    <row r="4" spans="1:53" s="255" customFormat="1" ht="45.75" customHeight="1">
      <c r="A4" s="248" t="s">
        <v>463</v>
      </c>
      <c r="B4" s="248" t="s">
        <v>460</v>
      </c>
      <c r="C4" s="249" t="s">
        <v>464</v>
      </c>
      <c r="D4" s="250" t="s">
        <v>462</v>
      </c>
      <c r="E4" s="251" t="s">
        <v>398</v>
      </c>
      <c r="F4" s="251" t="s">
        <v>399</v>
      </c>
      <c r="G4" s="251" t="s">
        <v>476</v>
      </c>
      <c r="H4" s="251" t="s">
        <v>477</v>
      </c>
      <c r="I4" s="251" t="s">
        <v>478</v>
      </c>
      <c r="J4" s="251" t="s">
        <v>479</v>
      </c>
      <c r="K4" s="251" t="s">
        <v>480</v>
      </c>
      <c r="L4" s="251" t="s">
        <v>481</v>
      </c>
      <c r="M4" s="251" t="s">
        <v>482</v>
      </c>
      <c r="N4" s="251" t="s">
        <v>483</v>
      </c>
      <c r="O4" s="251" t="s">
        <v>400</v>
      </c>
      <c r="P4" s="251" t="s">
        <v>407</v>
      </c>
      <c r="Q4" s="251" t="s">
        <v>401</v>
      </c>
      <c r="R4" s="251" t="s">
        <v>408</v>
      </c>
      <c r="S4" s="251" t="s">
        <v>790</v>
      </c>
      <c r="T4" s="251" t="s">
        <v>791</v>
      </c>
      <c r="U4" s="251" t="s">
        <v>831</v>
      </c>
      <c r="V4" s="251" t="s">
        <v>832</v>
      </c>
      <c r="W4" s="251" t="s">
        <v>484</v>
      </c>
      <c r="X4" s="251" t="s">
        <v>485</v>
      </c>
      <c r="Y4" s="251" t="s">
        <v>486</v>
      </c>
      <c r="Z4" s="251" t="s">
        <v>487</v>
      </c>
      <c r="AA4" s="251" t="s">
        <v>488</v>
      </c>
      <c r="AB4" s="251" t="s">
        <v>489</v>
      </c>
      <c r="AC4" s="251" t="s">
        <v>490</v>
      </c>
      <c r="AD4" s="251" t="s">
        <v>491</v>
      </c>
      <c r="AE4" s="252" t="s">
        <v>395</v>
      </c>
      <c r="AF4" s="252" t="s">
        <v>396</v>
      </c>
      <c r="AG4" s="251" t="s">
        <v>402</v>
      </c>
      <c r="AH4" s="251" t="s">
        <v>409</v>
      </c>
      <c r="AI4" s="251" t="s">
        <v>792</v>
      </c>
      <c r="AJ4" s="251" t="s">
        <v>793</v>
      </c>
      <c r="AK4" s="251" t="s">
        <v>833</v>
      </c>
      <c r="AL4" s="251" t="s">
        <v>834</v>
      </c>
      <c r="AM4" s="251" t="s">
        <v>492</v>
      </c>
      <c r="AN4" s="251" t="s">
        <v>493</v>
      </c>
      <c r="AO4" s="251" t="s">
        <v>494</v>
      </c>
      <c r="AP4" s="462" t="s">
        <v>495</v>
      </c>
      <c r="AQ4" s="251" t="s">
        <v>496</v>
      </c>
      <c r="AR4" s="462" t="s">
        <v>497</v>
      </c>
      <c r="AS4" s="251" t="s">
        <v>498</v>
      </c>
      <c r="AT4" s="462" t="s">
        <v>499</v>
      </c>
      <c r="AU4" s="251" t="s">
        <v>403</v>
      </c>
      <c r="AV4" s="251" t="s">
        <v>405</v>
      </c>
      <c r="AW4" s="251" t="s">
        <v>404</v>
      </c>
      <c r="AX4" s="251" t="s">
        <v>406</v>
      </c>
      <c r="AY4" s="253" t="s">
        <v>412</v>
      </c>
      <c r="AZ4" s="254" t="s">
        <v>417</v>
      </c>
    </row>
    <row r="5" spans="1:53" s="93" customFormat="1">
      <c r="A5" s="463" t="s">
        <v>84</v>
      </c>
      <c r="B5" s="275" t="s">
        <v>840</v>
      </c>
      <c r="C5" s="463">
        <v>100858</v>
      </c>
      <c r="D5" s="269">
        <v>1</v>
      </c>
      <c r="E5" s="148" t="s">
        <v>393</v>
      </c>
      <c r="F5" s="149"/>
      <c r="G5" s="78"/>
      <c r="H5" s="675"/>
      <c r="I5" s="78">
        <v>246206</v>
      </c>
      <c r="J5" s="675">
        <v>249991</v>
      </c>
      <c r="K5" s="78">
        <v>58930</v>
      </c>
      <c r="L5" s="675">
        <v>57837</v>
      </c>
      <c r="M5" s="78">
        <v>272230</v>
      </c>
      <c r="N5" s="675">
        <v>271948</v>
      </c>
      <c r="O5" s="256">
        <f t="shared" ref="O5:O36" si="0">SUM(G5,I5,K5,M5)</f>
        <v>577366</v>
      </c>
      <c r="P5" s="89">
        <f t="shared" ref="P5:P36" si="1">+O5/30</f>
        <v>19245.533333333333</v>
      </c>
      <c r="Q5" s="257">
        <f t="shared" ref="Q5:Q36" si="2">SUM(H5,J5,L5,N5)</f>
        <v>579776</v>
      </c>
      <c r="R5" s="79">
        <f t="shared" ref="R5:R68" si="3">+Q5/30</f>
        <v>19325.866666666665</v>
      </c>
      <c r="S5" s="464"/>
      <c r="T5" s="675"/>
      <c r="U5" s="256">
        <f t="shared" ref="U5:U36" si="4">IF(OR(ISBLANK(S5),(S5="—")),0,O5)</f>
        <v>0</v>
      </c>
      <c r="V5" s="434">
        <f t="shared" ref="V5:V36" si="5">IF(OR(ISBLANK(T5),(T5="—")),0,Q5)</f>
        <v>0</v>
      </c>
      <c r="W5" s="78"/>
      <c r="X5" s="675"/>
      <c r="Y5" s="78"/>
      <c r="Z5" s="675"/>
      <c r="AA5" s="78"/>
      <c r="AB5" s="675"/>
      <c r="AC5" s="78"/>
      <c r="AD5" s="675"/>
      <c r="AE5" s="256">
        <f t="shared" ref="AE5:AE36" si="6">SUM(W5,Y5,AA5,AC5)</f>
        <v>0</v>
      </c>
      <c r="AF5" s="89">
        <f t="shared" ref="AF5:AF68" si="7">+AE5/900</f>
        <v>0</v>
      </c>
      <c r="AG5" s="257">
        <f t="shared" ref="AG5:AG36" si="8">SUM(X5,Z5,AB5,AD5)</f>
        <v>0</v>
      </c>
      <c r="AH5" s="79">
        <f t="shared" ref="AH5:AH68" si="9">+AG5/900</f>
        <v>0</v>
      </c>
      <c r="AI5" s="78"/>
      <c r="AJ5" s="675"/>
      <c r="AK5" s="256">
        <f t="shared" ref="AK5:AK36" si="10">IF(OR(ISBLANK(AI5),(AI5="—")),0,AE5)</f>
        <v>0</v>
      </c>
      <c r="AL5" s="434">
        <f t="shared" ref="AL5:AL36" si="11">IF(OR(ISBLANK(AJ5),(AJ5="—")),0,AG5)</f>
        <v>0</v>
      </c>
      <c r="AM5" s="78"/>
      <c r="AN5" s="675"/>
      <c r="AO5" s="78">
        <v>32245</v>
      </c>
      <c r="AP5" s="675">
        <v>33131</v>
      </c>
      <c r="AQ5" s="78">
        <v>16517</v>
      </c>
      <c r="AR5" s="676">
        <v>17606</v>
      </c>
      <c r="AS5" s="78">
        <v>35059</v>
      </c>
      <c r="AT5" s="676">
        <v>36303</v>
      </c>
      <c r="AU5" s="258">
        <f t="shared" ref="AU5:AU68" si="12">SUM(AM5,AO5,AQ5,AS5)</f>
        <v>83821</v>
      </c>
      <c r="AV5" s="89">
        <f t="shared" ref="AV5:AV68" si="13">+AU5/24</f>
        <v>3492.5416666666665</v>
      </c>
      <c r="AW5" s="257">
        <f t="shared" ref="AW5:AW68" si="14">SUM(AN5,AP5,AR5,AT5)</f>
        <v>87040</v>
      </c>
      <c r="AX5" s="79">
        <f t="shared" ref="AX5:AX68" si="15">+AW5/24</f>
        <v>3626.6666666666665</v>
      </c>
      <c r="AY5" s="259">
        <f t="shared" ref="AY5:AY36" si="16">SUM(P5,AF5,AV5)</f>
        <v>22738.075000000001</v>
      </c>
      <c r="AZ5" s="79">
        <f t="shared" ref="AZ5:AZ36" si="17">SUM(R5,AH5,AX5)</f>
        <v>22952.533333333333</v>
      </c>
      <c r="BA5" s="677"/>
    </row>
    <row r="6" spans="1:53" s="93" customFormat="1">
      <c r="A6" s="463" t="s">
        <v>84</v>
      </c>
      <c r="B6" s="275" t="s">
        <v>85</v>
      </c>
      <c r="C6" s="463">
        <v>100751</v>
      </c>
      <c r="D6" s="269">
        <v>1</v>
      </c>
      <c r="E6" s="148" t="s">
        <v>393</v>
      </c>
      <c r="F6" s="149"/>
      <c r="G6" s="78"/>
      <c r="H6" s="675"/>
      <c r="I6" s="78">
        <v>269582</v>
      </c>
      <c r="J6" s="675">
        <v>289905</v>
      </c>
      <c r="K6" s="78">
        <v>63093</v>
      </c>
      <c r="L6" s="675">
        <v>61623</v>
      </c>
      <c r="M6" s="78">
        <v>303425</v>
      </c>
      <c r="N6" s="675">
        <v>321443</v>
      </c>
      <c r="O6" s="256">
        <f t="shared" si="0"/>
        <v>636100</v>
      </c>
      <c r="P6" s="89">
        <f t="shared" si="1"/>
        <v>21203.333333333332</v>
      </c>
      <c r="Q6" s="257">
        <f t="shared" si="2"/>
        <v>672971</v>
      </c>
      <c r="R6" s="79">
        <f t="shared" si="3"/>
        <v>22432.366666666665</v>
      </c>
      <c r="S6" s="464"/>
      <c r="T6" s="675"/>
      <c r="U6" s="256">
        <f t="shared" si="4"/>
        <v>0</v>
      </c>
      <c r="V6" s="434">
        <f t="shared" si="5"/>
        <v>0</v>
      </c>
      <c r="W6" s="78"/>
      <c r="X6" s="675"/>
      <c r="Y6" s="78"/>
      <c r="Z6" s="675"/>
      <c r="AA6" s="78"/>
      <c r="AB6" s="675"/>
      <c r="AC6" s="78"/>
      <c r="AD6" s="675"/>
      <c r="AE6" s="256">
        <f t="shared" si="6"/>
        <v>0</v>
      </c>
      <c r="AF6" s="89">
        <f t="shared" si="7"/>
        <v>0</v>
      </c>
      <c r="AG6" s="257">
        <f t="shared" si="8"/>
        <v>0</v>
      </c>
      <c r="AH6" s="79">
        <f t="shared" si="9"/>
        <v>0</v>
      </c>
      <c r="AI6" s="78"/>
      <c r="AJ6" s="675"/>
      <c r="AK6" s="256">
        <f t="shared" si="10"/>
        <v>0</v>
      </c>
      <c r="AL6" s="434">
        <f t="shared" si="11"/>
        <v>0</v>
      </c>
      <c r="AM6" s="78"/>
      <c r="AN6" s="675"/>
      <c r="AO6" s="78">
        <v>38044</v>
      </c>
      <c r="AP6" s="675">
        <v>38852</v>
      </c>
      <c r="AQ6" s="78">
        <v>12411</v>
      </c>
      <c r="AR6" s="675">
        <v>11523</v>
      </c>
      <c r="AS6" s="78">
        <v>38134</v>
      </c>
      <c r="AT6" s="675">
        <v>41325</v>
      </c>
      <c r="AU6" s="258">
        <f t="shared" si="12"/>
        <v>88589</v>
      </c>
      <c r="AV6" s="89">
        <f t="shared" si="13"/>
        <v>3691.2083333333335</v>
      </c>
      <c r="AW6" s="257">
        <f t="shared" si="14"/>
        <v>91700</v>
      </c>
      <c r="AX6" s="79">
        <f t="shared" si="15"/>
        <v>3820.8333333333335</v>
      </c>
      <c r="AY6" s="259">
        <f t="shared" si="16"/>
        <v>24894.541666666664</v>
      </c>
      <c r="AZ6" s="79">
        <f t="shared" si="17"/>
        <v>26253.199999999997</v>
      </c>
      <c r="BA6" s="677"/>
    </row>
    <row r="7" spans="1:53" s="93" customFormat="1">
      <c r="A7" s="463" t="s">
        <v>84</v>
      </c>
      <c r="B7" s="275" t="s">
        <v>86</v>
      </c>
      <c r="C7" s="463">
        <v>100663</v>
      </c>
      <c r="D7" s="269">
        <v>1</v>
      </c>
      <c r="E7" s="148" t="s">
        <v>393</v>
      </c>
      <c r="F7" s="149"/>
      <c r="G7" s="78"/>
      <c r="H7" s="675"/>
      <c r="I7" s="78">
        <v>106612</v>
      </c>
      <c r="J7" s="675">
        <v>104786</v>
      </c>
      <c r="K7" s="78">
        <v>32388</v>
      </c>
      <c r="L7" s="675">
        <v>30996</v>
      </c>
      <c r="M7" s="78">
        <v>112683</v>
      </c>
      <c r="N7" s="675">
        <v>117733</v>
      </c>
      <c r="O7" s="256">
        <f t="shared" si="0"/>
        <v>251683</v>
      </c>
      <c r="P7" s="89">
        <f t="shared" si="1"/>
        <v>8389.4333333333325</v>
      </c>
      <c r="Q7" s="257">
        <f t="shared" si="2"/>
        <v>253515</v>
      </c>
      <c r="R7" s="79">
        <f t="shared" si="3"/>
        <v>8450.5</v>
      </c>
      <c r="S7" s="464"/>
      <c r="T7" s="675"/>
      <c r="U7" s="256">
        <f t="shared" si="4"/>
        <v>0</v>
      </c>
      <c r="V7" s="434">
        <f t="shared" si="5"/>
        <v>0</v>
      </c>
      <c r="W7" s="78"/>
      <c r="X7" s="675"/>
      <c r="Y7" s="78"/>
      <c r="Z7" s="675"/>
      <c r="AA7" s="78"/>
      <c r="AB7" s="675"/>
      <c r="AC7" s="78"/>
      <c r="AD7" s="675"/>
      <c r="AE7" s="256">
        <f t="shared" si="6"/>
        <v>0</v>
      </c>
      <c r="AF7" s="89">
        <f t="shared" si="7"/>
        <v>0</v>
      </c>
      <c r="AG7" s="257">
        <f t="shared" si="8"/>
        <v>0</v>
      </c>
      <c r="AH7" s="79">
        <f t="shared" si="9"/>
        <v>0</v>
      </c>
      <c r="AI7" s="78"/>
      <c r="AJ7" s="675"/>
      <c r="AK7" s="256">
        <f t="shared" si="10"/>
        <v>0</v>
      </c>
      <c r="AL7" s="434">
        <f t="shared" si="11"/>
        <v>0</v>
      </c>
      <c r="AM7" s="78"/>
      <c r="AN7" s="675"/>
      <c r="AO7" s="78">
        <v>15721</v>
      </c>
      <c r="AP7" s="675">
        <v>16075</v>
      </c>
      <c r="AQ7" s="78">
        <v>11153</v>
      </c>
      <c r="AR7" s="675">
        <v>11366</v>
      </c>
      <c r="AS7" s="78">
        <v>16398</v>
      </c>
      <c r="AT7" s="675">
        <v>17141</v>
      </c>
      <c r="AU7" s="258">
        <f t="shared" si="12"/>
        <v>43272</v>
      </c>
      <c r="AV7" s="89">
        <f t="shared" si="13"/>
        <v>1803</v>
      </c>
      <c r="AW7" s="257">
        <f t="shared" si="14"/>
        <v>44582</v>
      </c>
      <c r="AX7" s="79">
        <f t="shared" si="15"/>
        <v>1857.5833333333333</v>
      </c>
      <c r="AY7" s="259">
        <f t="shared" si="16"/>
        <v>10192.433333333332</v>
      </c>
      <c r="AZ7" s="79">
        <f t="shared" si="17"/>
        <v>10308.083333333334</v>
      </c>
      <c r="BA7" s="677"/>
    </row>
    <row r="8" spans="1:53" s="93" customFormat="1">
      <c r="A8" s="463" t="s">
        <v>84</v>
      </c>
      <c r="B8" s="275" t="s">
        <v>87</v>
      </c>
      <c r="C8" s="463">
        <v>100706</v>
      </c>
      <c r="D8" s="269">
        <v>2</v>
      </c>
      <c r="E8" s="148" t="s">
        <v>393</v>
      </c>
      <c r="F8" s="149"/>
      <c r="G8" s="78"/>
      <c r="H8" s="675"/>
      <c r="I8" s="78">
        <v>62323</v>
      </c>
      <c r="J8" s="675">
        <v>66016</v>
      </c>
      <c r="K8" s="78">
        <v>17644</v>
      </c>
      <c r="L8" s="675">
        <v>18277</v>
      </c>
      <c r="M8" s="78">
        <v>69817</v>
      </c>
      <c r="N8" s="675">
        <v>73595</v>
      </c>
      <c r="O8" s="256">
        <f t="shared" si="0"/>
        <v>149784</v>
      </c>
      <c r="P8" s="89">
        <f t="shared" si="1"/>
        <v>4992.8</v>
      </c>
      <c r="Q8" s="257">
        <f t="shared" si="2"/>
        <v>157888</v>
      </c>
      <c r="R8" s="79">
        <f t="shared" si="3"/>
        <v>5262.9333333333334</v>
      </c>
      <c r="S8" s="464"/>
      <c r="T8" s="675"/>
      <c r="U8" s="256">
        <f t="shared" si="4"/>
        <v>0</v>
      </c>
      <c r="V8" s="434">
        <f t="shared" si="5"/>
        <v>0</v>
      </c>
      <c r="W8" s="78"/>
      <c r="X8" s="675"/>
      <c r="Y8" s="78"/>
      <c r="Z8" s="675"/>
      <c r="AA8" s="78"/>
      <c r="AB8" s="675"/>
      <c r="AC8" s="78"/>
      <c r="AD8" s="675"/>
      <c r="AE8" s="256">
        <f t="shared" si="6"/>
        <v>0</v>
      </c>
      <c r="AF8" s="89">
        <f t="shared" si="7"/>
        <v>0</v>
      </c>
      <c r="AG8" s="257">
        <f t="shared" si="8"/>
        <v>0</v>
      </c>
      <c r="AH8" s="79">
        <f t="shared" si="9"/>
        <v>0</v>
      </c>
      <c r="AI8" s="78"/>
      <c r="AJ8" s="675"/>
      <c r="AK8" s="256">
        <f t="shared" si="10"/>
        <v>0</v>
      </c>
      <c r="AL8" s="434">
        <f t="shared" si="11"/>
        <v>0</v>
      </c>
      <c r="AM8" s="78"/>
      <c r="AN8" s="675"/>
      <c r="AO8" s="78">
        <v>8068</v>
      </c>
      <c r="AP8" s="675">
        <v>7936</v>
      </c>
      <c r="AQ8" s="78">
        <v>4341</v>
      </c>
      <c r="AR8" s="675">
        <v>4253</v>
      </c>
      <c r="AS8" s="78">
        <v>8837</v>
      </c>
      <c r="AT8" s="675">
        <v>8952</v>
      </c>
      <c r="AU8" s="258">
        <f t="shared" si="12"/>
        <v>21246</v>
      </c>
      <c r="AV8" s="89">
        <f t="shared" si="13"/>
        <v>885.25</v>
      </c>
      <c r="AW8" s="257">
        <f t="shared" si="14"/>
        <v>21141</v>
      </c>
      <c r="AX8" s="79">
        <f t="shared" si="15"/>
        <v>880.875</v>
      </c>
      <c r="AY8" s="259">
        <f t="shared" si="16"/>
        <v>5878.05</v>
      </c>
      <c r="AZ8" s="79">
        <f t="shared" si="17"/>
        <v>6143.8083333333334</v>
      </c>
      <c r="BA8" s="677"/>
    </row>
    <row r="9" spans="1:53" s="93" customFormat="1">
      <c r="A9" s="463" t="s">
        <v>84</v>
      </c>
      <c r="B9" s="275" t="s">
        <v>88</v>
      </c>
      <c r="C9" s="463">
        <v>100654</v>
      </c>
      <c r="D9" s="269">
        <v>3</v>
      </c>
      <c r="E9" s="148" t="s">
        <v>393</v>
      </c>
      <c r="F9" s="149"/>
      <c r="G9" s="78"/>
      <c r="H9" s="675"/>
      <c r="I9" s="78">
        <v>61417</v>
      </c>
      <c r="J9" s="675">
        <v>59779</v>
      </c>
      <c r="K9" s="78">
        <v>9079</v>
      </c>
      <c r="L9" s="675">
        <v>10350</v>
      </c>
      <c r="M9" s="78">
        <v>64735</v>
      </c>
      <c r="N9" s="675">
        <v>64451</v>
      </c>
      <c r="O9" s="256">
        <f t="shared" si="0"/>
        <v>135231</v>
      </c>
      <c r="P9" s="89">
        <f t="shared" si="1"/>
        <v>4507.7</v>
      </c>
      <c r="Q9" s="257">
        <f t="shared" si="2"/>
        <v>134580</v>
      </c>
      <c r="R9" s="79">
        <f t="shared" si="3"/>
        <v>4486</v>
      </c>
      <c r="S9" s="464"/>
      <c r="T9" s="675"/>
      <c r="U9" s="256">
        <f t="shared" si="4"/>
        <v>0</v>
      </c>
      <c r="V9" s="434">
        <f t="shared" si="5"/>
        <v>0</v>
      </c>
      <c r="W9" s="78"/>
      <c r="X9" s="675"/>
      <c r="Y9" s="78"/>
      <c r="Z9" s="675"/>
      <c r="AA9" s="78"/>
      <c r="AB9" s="675"/>
      <c r="AC9" s="78"/>
      <c r="AD9" s="675"/>
      <c r="AE9" s="256">
        <f t="shared" si="6"/>
        <v>0</v>
      </c>
      <c r="AF9" s="89">
        <f t="shared" si="7"/>
        <v>0</v>
      </c>
      <c r="AG9" s="257">
        <f t="shared" si="8"/>
        <v>0</v>
      </c>
      <c r="AH9" s="79">
        <f t="shared" si="9"/>
        <v>0</v>
      </c>
      <c r="AI9" s="78"/>
      <c r="AJ9" s="675"/>
      <c r="AK9" s="256">
        <f t="shared" si="10"/>
        <v>0</v>
      </c>
      <c r="AL9" s="434">
        <f t="shared" si="11"/>
        <v>0</v>
      </c>
      <c r="AM9" s="78"/>
      <c r="AN9" s="675"/>
      <c r="AO9" s="78">
        <v>6964</v>
      </c>
      <c r="AP9" s="675">
        <v>6072</v>
      </c>
      <c r="AQ9" s="78">
        <v>3804</v>
      </c>
      <c r="AR9" s="675">
        <v>3392</v>
      </c>
      <c r="AS9" s="78">
        <v>6148</v>
      </c>
      <c r="AT9" s="675">
        <v>6070</v>
      </c>
      <c r="AU9" s="258">
        <f t="shared" si="12"/>
        <v>16916</v>
      </c>
      <c r="AV9" s="89">
        <f t="shared" si="13"/>
        <v>704.83333333333337</v>
      </c>
      <c r="AW9" s="257">
        <f t="shared" si="14"/>
        <v>15534</v>
      </c>
      <c r="AX9" s="79">
        <f t="shared" si="15"/>
        <v>647.25</v>
      </c>
      <c r="AY9" s="259">
        <f t="shared" si="16"/>
        <v>5212.5333333333328</v>
      </c>
      <c r="AZ9" s="79">
        <f t="shared" si="17"/>
        <v>5133.25</v>
      </c>
      <c r="BA9" s="677"/>
    </row>
    <row r="10" spans="1:53" s="93" customFormat="1">
      <c r="A10" s="463" t="s">
        <v>84</v>
      </c>
      <c r="B10" s="275" t="s">
        <v>89</v>
      </c>
      <c r="C10" s="463">
        <v>101480</v>
      </c>
      <c r="D10" s="269">
        <v>3</v>
      </c>
      <c r="E10" s="148" t="s">
        <v>393</v>
      </c>
      <c r="F10" s="149"/>
      <c r="G10" s="78"/>
      <c r="H10" s="675"/>
      <c r="I10" s="78">
        <v>86108</v>
      </c>
      <c r="J10" s="675">
        <v>84956</v>
      </c>
      <c r="K10" s="78">
        <v>24175</v>
      </c>
      <c r="L10" s="675">
        <v>23262</v>
      </c>
      <c r="M10" s="78">
        <v>95212</v>
      </c>
      <c r="N10" s="675">
        <v>91355</v>
      </c>
      <c r="O10" s="256">
        <f t="shared" si="0"/>
        <v>205495</v>
      </c>
      <c r="P10" s="89">
        <f t="shared" si="1"/>
        <v>6849.833333333333</v>
      </c>
      <c r="Q10" s="257">
        <f t="shared" si="2"/>
        <v>199573</v>
      </c>
      <c r="R10" s="79">
        <f t="shared" si="3"/>
        <v>6652.4333333333334</v>
      </c>
      <c r="S10" s="464"/>
      <c r="T10" s="675"/>
      <c r="U10" s="256">
        <f t="shared" si="4"/>
        <v>0</v>
      </c>
      <c r="V10" s="434">
        <f t="shared" si="5"/>
        <v>0</v>
      </c>
      <c r="W10" s="78"/>
      <c r="X10" s="675"/>
      <c r="Y10" s="78"/>
      <c r="Z10" s="675"/>
      <c r="AA10" s="78"/>
      <c r="AB10" s="675"/>
      <c r="AC10" s="78"/>
      <c r="AD10" s="675"/>
      <c r="AE10" s="256">
        <f t="shared" si="6"/>
        <v>0</v>
      </c>
      <c r="AF10" s="89">
        <f t="shared" si="7"/>
        <v>0</v>
      </c>
      <c r="AG10" s="257">
        <f t="shared" si="8"/>
        <v>0</v>
      </c>
      <c r="AH10" s="79">
        <f t="shared" si="9"/>
        <v>0</v>
      </c>
      <c r="AI10" s="78"/>
      <c r="AJ10" s="675"/>
      <c r="AK10" s="256">
        <f t="shared" si="10"/>
        <v>0</v>
      </c>
      <c r="AL10" s="434">
        <f t="shared" si="11"/>
        <v>0</v>
      </c>
      <c r="AM10" s="78"/>
      <c r="AN10" s="675"/>
      <c r="AO10" s="78">
        <v>8244</v>
      </c>
      <c r="AP10" s="675">
        <v>9512</v>
      </c>
      <c r="AQ10" s="78">
        <v>6629</v>
      </c>
      <c r="AR10" s="675">
        <v>6368</v>
      </c>
      <c r="AS10" s="78">
        <v>6879</v>
      </c>
      <c r="AT10" s="675">
        <v>9331</v>
      </c>
      <c r="AU10" s="258">
        <f t="shared" si="12"/>
        <v>21752</v>
      </c>
      <c r="AV10" s="89">
        <f t="shared" si="13"/>
        <v>906.33333333333337</v>
      </c>
      <c r="AW10" s="257">
        <f t="shared" si="14"/>
        <v>25211</v>
      </c>
      <c r="AX10" s="79">
        <f t="shared" si="15"/>
        <v>1050.4583333333333</v>
      </c>
      <c r="AY10" s="259">
        <f t="shared" si="16"/>
        <v>7756.1666666666661</v>
      </c>
      <c r="AZ10" s="79">
        <f t="shared" si="17"/>
        <v>7702.8916666666664</v>
      </c>
      <c r="BA10" s="677"/>
    </row>
    <row r="11" spans="1:53" s="93" customFormat="1">
      <c r="A11" s="463" t="s">
        <v>84</v>
      </c>
      <c r="B11" s="275" t="s">
        <v>90</v>
      </c>
      <c r="C11" s="463">
        <v>102368</v>
      </c>
      <c r="D11" s="269">
        <v>3</v>
      </c>
      <c r="E11" s="148" t="s">
        <v>393</v>
      </c>
      <c r="F11" s="149"/>
      <c r="G11" s="78"/>
      <c r="H11" s="675"/>
      <c r="I11" s="78">
        <v>125365</v>
      </c>
      <c r="J11" s="675">
        <v>136709</v>
      </c>
      <c r="K11" s="78">
        <v>35773</v>
      </c>
      <c r="L11" s="675">
        <v>38293</v>
      </c>
      <c r="M11" s="78">
        <v>142550</v>
      </c>
      <c r="N11" s="675">
        <v>156277</v>
      </c>
      <c r="O11" s="256">
        <f t="shared" si="0"/>
        <v>303688</v>
      </c>
      <c r="P11" s="89">
        <f t="shared" si="1"/>
        <v>10122.933333333332</v>
      </c>
      <c r="Q11" s="257">
        <f t="shared" si="2"/>
        <v>331279</v>
      </c>
      <c r="R11" s="79">
        <f t="shared" si="3"/>
        <v>11042.633333333333</v>
      </c>
      <c r="S11" s="464"/>
      <c r="T11" s="675"/>
      <c r="U11" s="256">
        <f t="shared" si="4"/>
        <v>0</v>
      </c>
      <c r="V11" s="434">
        <f t="shared" si="5"/>
        <v>0</v>
      </c>
      <c r="W11" s="78"/>
      <c r="X11" s="675"/>
      <c r="Y11" s="78"/>
      <c r="Z11" s="675"/>
      <c r="AA11" s="78"/>
      <c r="AB11" s="675"/>
      <c r="AC11" s="78"/>
      <c r="AD11" s="675"/>
      <c r="AE11" s="256">
        <f t="shared" si="6"/>
        <v>0</v>
      </c>
      <c r="AF11" s="89">
        <f t="shared" si="7"/>
        <v>0</v>
      </c>
      <c r="AG11" s="257">
        <f t="shared" si="8"/>
        <v>0</v>
      </c>
      <c r="AH11" s="79">
        <f t="shared" si="9"/>
        <v>0</v>
      </c>
      <c r="AI11" s="78"/>
      <c r="AJ11" s="675"/>
      <c r="AK11" s="256">
        <f t="shared" si="10"/>
        <v>0</v>
      </c>
      <c r="AL11" s="434">
        <f t="shared" si="11"/>
        <v>0</v>
      </c>
      <c r="AM11" s="78"/>
      <c r="AN11" s="675"/>
      <c r="AO11" s="78">
        <v>24503</v>
      </c>
      <c r="AP11" s="675">
        <v>18471</v>
      </c>
      <c r="AQ11" s="78">
        <v>9352</v>
      </c>
      <c r="AR11" s="675">
        <v>8525</v>
      </c>
      <c r="AS11" s="78">
        <v>18935</v>
      </c>
      <c r="AT11" s="675">
        <v>19087</v>
      </c>
      <c r="AU11" s="258">
        <f t="shared" si="12"/>
        <v>52790</v>
      </c>
      <c r="AV11" s="89">
        <f t="shared" si="13"/>
        <v>2199.5833333333335</v>
      </c>
      <c r="AW11" s="257">
        <f t="shared" si="14"/>
        <v>46083</v>
      </c>
      <c r="AX11" s="79">
        <f t="shared" si="15"/>
        <v>1920.125</v>
      </c>
      <c r="AY11" s="259">
        <f t="shared" si="16"/>
        <v>12322.516666666666</v>
      </c>
      <c r="AZ11" s="79">
        <f t="shared" si="17"/>
        <v>12962.758333333333</v>
      </c>
      <c r="BA11" s="677"/>
    </row>
    <row r="12" spans="1:53" s="93" customFormat="1">
      <c r="A12" s="463" t="s">
        <v>84</v>
      </c>
      <c r="B12" s="275" t="s">
        <v>91</v>
      </c>
      <c r="C12" s="463">
        <v>102094</v>
      </c>
      <c r="D12" s="269">
        <v>3</v>
      </c>
      <c r="E12" s="148" t="s">
        <v>393</v>
      </c>
      <c r="F12" s="149"/>
      <c r="G12" s="78"/>
      <c r="H12" s="675"/>
      <c r="I12" s="78">
        <v>107967</v>
      </c>
      <c r="J12" s="675">
        <v>111866</v>
      </c>
      <c r="K12" s="78">
        <v>29063</v>
      </c>
      <c r="L12" s="675">
        <v>27440</v>
      </c>
      <c r="M12" s="78">
        <v>121086</v>
      </c>
      <c r="N12" s="675">
        <v>126297</v>
      </c>
      <c r="O12" s="256">
        <f t="shared" si="0"/>
        <v>258116</v>
      </c>
      <c r="P12" s="89">
        <f t="shared" si="1"/>
        <v>8603.8666666666668</v>
      </c>
      <c r="Q12" s="257">
        <f t="shared" si="2"/>
        <v>265603</v>
      </c>
      <c r="R12" s="79">
        <f t="shared" si="3"/>
        <v>8853.4333333333325</v>
      </c>
      <c r="S12" s="464"/>
      <c r="T12" s="675"/>
      <c r="U12" s="256">
        <f t="shared" si="4"/>
        <v>0</v>
      </c>
      <c r="V12" s="434">
        <f t="shared" si="5"/>
        <v>0</v>
      </c>
      <c r="W12" s="78"/>
      <c r="X12" s="675"/>
      <c r="Y12" s="78"/>
      <c r="Z12" s="675"/>
      <c r="AA12" s="78"/>
      <c r="AB12" s="675"/>
      <c r="AC12" s="78"/>
      <c r="AD12" s="675"/>
      <c r="AE12" s="256">
        <f t="shared" si="6"/>
        <v>0</v>
      </c>
      <c r="AF12" s="89">
        <f t="shared" si="7"/>
        <v>0</v>
      </c>
      <c r="AG12" s="257">
        <f t="shared" si="8"/>
        <v>0</v>
      </c>
      <c r="AH12" s="79">
        <f t="shared" si="9"/>
        <v>0</v>
      </c>
      <c r="AI12" s="78"/>
      <c r="AJ12" s="675"/>
      <c r="AK12" s="256">
        <f t="shared" si="10"/>
        <v>0</v>
      </c>
      <c r="AL12" s="434">
        <f t="shared" si="11"/>
        <v>0</v>
      </c>
      <c r="AM12" s="78"/>
      <c r="AN12" s="675"/>
      <c r="AO12" s="78">
        <v>8213</v>
      </c>
      <c r="AP12" s="675">
        <v>7291</v>
      </c>
      <c r="AQ12" s="78">
        <v>5188</v>
      </c>
      <c r="AR12" s="675">
        <v>3913</v>
      </c>
      <c r="AS12" s="78">
        <v>7729</v>
      </c>
      <c r="AT12" s="675">
        <v>7573</v>
      </c>
      <c r="AU12" s="258">
        <f t="shared" si="12"/>
        <v>21130</v>
      </c>
      <c r="AV12" s="89">
        <f t="shared" si="13"/>
        <v>880.41666666666663</v>
      </c>
      <c r="AW12" s="257">
        <f t="shared" si="14"/>
        <v>18777</v>
      </c>
      <c r="AX12" s="79">
        <f t="shared" si="15"/>
        <v>782.375</v>
      </c>
      <c r="AY12" s="259">
        <f t="shared" si="16"/>
        <v>9484.2833333333328</v>
      </c>
      <c r="AZ12" s="79">
        <f t="shared" si="17"/>
        <v>9635.8083333333325</v>
      </c>
      <c r="BA12" s="677"/>
    </row>
    <row r="13" spans="1:53" s="93" customFormat="1">
      <c r="A13" s="463" t="s">
        <v>84</v>
      </c>
      <c r="B13" s="275" t="s">
        <v>92</v>
      </c>
      <c r="C13" s="463">
        <v>100724</v>
      </c>
      <c r="D13" s="269">
        <v>4</v>
      </c>
      <c r="E13" s="148" t="s">
        <v>393</v>
      </c>
      <c r="F13" s="149"/>
      <c r="G13" s="78"/>
      <c r="H13" s="675"/>
      <c r="I13" s="78">
        <v>62082</v>
      </c>
      <c r="J13" s="675">
        <v>62697</v>
      </c>
      <c r="K13" s="78">
        <v>13211</v>
      </c>
      <c r="L13" s="675">
        <v>13237</v>
      </c>
      <c r="M13" s="78">
        <v>65251</v>
      </c>
      <c r="N13" s="675">
        <v>66397</v>
      </c>
      <c r="O13" s="256">
        <f t="shared" si="0"/>
        <v>140544</v>
      </c>
      <c r="P13" s="89">
        <f t="shared" si="1"/>
        <v>4684.8</v>
      </c>
      <c r="Q13" s="257">
        <f t="shared" si="2"/>
        <v>142331</v>
      </c>
      <c r="R13" s="79">
        <f t="shared" si="3"/>
        <v>4744.3666666666668</v>
      </c>
      <c r="S13" s="464"/>
      <c r="T13" s="675"/>
      <c r="U13" s="256">
        <f t="shared" si="4"/>
        <v>0</v>
      </c>
      <c r="V13" s="434">
        <f t="shared" si="5"/>
        <v>0</v>
      </c>
      <c r="W13" s="78"/>
      <c r="X13" s="675"/>
      <c r="Y13" s="78"/>
      <c r="Z13" s="675"/>
      <c r="AA13" s="78"/>
      <c r="AB13" s="675"/>
      <c r="AC13" s="78"/>
      <c r="AD13" s="675"/>
      <c r="AE13" s="256">
        <f t="shared" si="6"/>
        <v>0</v>
      </c>
      <c r="AF13" s="89">
        <f t="shared" si="7"/>
        <v>0</v>
      </c>
      <c r="AG13" s="257">
        <f t="shared" si="8"/>
        <v>0</v>
      </c>
      <c r="AH13" s="79">
        <f t="shared" si="9"/>
        <v>0</v>
      </c>
      <c r="AI13" s="78"/>
      <c r="AJ13" s="675"/>
      <c r="AK13" s="256">
        <f t="shared" si="10"/>
        <v>0</v>
      </c>
      <c r="AL13" s="434">
        <f t="shared" si="11"/>
        <v>0</v>
      </c>
      <c r="AM13" s="78"/>
      <c r="AN13" s="675"/>
      <c r="AO13" s="78">
        <v>6574</v>
      </c>
      <c r="AP13" s="675">
        <v>7009</v>
      </c>
      <c r="AQ13" s="78">
        <v>4821</v>
      </c>
      <c r="AR13" s="675">
        <v>3952</v>
      </c>
      <c r="AS13" s="78">
        <v>5921</v>
      </c>
      <c r="AT13" s="675">
        <v>5919</v>
      </c>
      <c r="AU13" s="258">
        <f t="shared" si="12"/>
        <v>17316</v>
      </c>
      <c r="AV13" s="89">
        <f t="shared" si="13"/>
        <v>721.5</v>
      </c>
      <c r="AW13" s="257">
        <f t="shared" si="14"/>
        <v>16880</v>
      </c>
      <c r="AX13" s="79">
        <f t="shared" si="15"/>
        <v>703.33333333333337</v>
      </c>
      <c r="AY13" s="259">
        <f t="shared" si="16"/>
        <v>5406.3</v>
      </c>
      <c r="AZ13" s="79">
        <f t="shared" si="17"/>
        <v>5447.7</v>
      </c>
      <c r="BA13" s="677"/>
    </row>
    <row r="14" spans="1:53" s="93" customFormat="1">
      <c r="A14" s="463" t="s">
        <v>84</v>
      </c>
      <c r="B14" s="275" t="s">
        <v>93</v>
      </c>
      <c r="C14" s="463">
        <v>100830</v>
      </c>
      <c r="D14" s="269">
        <v>4</v>
      </c>
      <c r="E14" s="148" t="s">
        <v>393</v>
      </c>
      <c r="F14" s="149"/>
      <c r="G14" s="78"/>
      <c r="H14" s="675"/>
      <c r="I14" s="78">
        <v>46131</v>
      </c>
      <c r="J14" s="675">
        <v>46766</v>
      </c>
      <c r="K14" s="78">
        <v>16461</v>
      </c>
      <c r="L14" s="675">
        <v>16243</v>
      </c>
      <c r="M14" s="78">
        <v>51167</v>
      </c>
      <c r="N14" s="675">
        <v>54460</v>
      </c>
      <c r="O14" s="256">
        <f t="shared" si="0"/>
        <v>113759</v>
      </c>
      <c r="P14" s="89">
        <f t="shared" si="1"/>
        <v>3791.9666666666667</v>
      </c>
      <c r="Q14" s="257">
        <f t="shared" si="2"/>
        <v>117469</v>
      </c>
      <c r="R14" s="79">
        <f t="shared" si="3"/>
        <v>3915.6333333333332</v>
      </c>
      <c r="S14" s="464"/>
      <c r="T14" s="675"/>
      <c r="U14" s="256">
        <f t="shared" si="4"/>
        <v>0</v>
      </c>
      <c r="V14" s="434">
        <f t="shared" si="5"/>
        <v>0</v>
      </c>
      <c r="W14" s="78"/>
      <c r="X14" s="675"/>
      <c r="Y14" s="78"/>
      <c r="Z14" s="675"/>
      <c r="AA14" s="78"/>
      <c r="AB14" s="675"/>
      <c r="AC14" s="78"/>
      <c r="AD14" s="675"/>
      <c r="AE14" s="256">
        <f t="shared" si="6"/>
        <v>0</v>
      </c>
      <c r="AF14" s="89">
        <f t="shared" si="7"/>
        <v>0</v>
      </c>
      <c r="AG14" s="257">
        <f t="shared" si="8"/>
        <v>0</v>
      </c>
      <c r="AH14" s="79">
        <f t="shared" si="9"/>
        <v>0</v>
      </c>
      <c r="AI14" s="78"/>
      <c r="AJ14" s="675"/>
      <c r="AK14" s="256">
        <f t="shared" si="10"/>
        <v>0</v>
      </c>
      <c r="AL14" s="434">
        <f t="shared" si="11"/>
        <v>0</v>
      </c>
      <c r="AM14" s="78"/>
      <c r="AN14" s="675"/>
      <c r="AO14" s="78">
        <v>4918</v>
      </c>
      <c r="AP14" s="675">
        <v>5043</v>
      </c>
      <c r="AQ14" s="78">
        <v>3053</v>
      </c>
      <c r="AR14" s="675">
        <v>3117</v>
      </c>
      <c r="AS14" s="78">
        <v>5353</v>
      </c>
      <c r="AT14" s="675">
        <v>5557</v>
      </c>
      <c r="AU14" s="258">
        <f t="shared" si="12"/>
        <v>13324</v>
      </c>
      <c r="AV14" s="89">
        <f t="shared" si="13"/>
        <v>555.16666666666663</v>
      </c>
      <c r="AW14" s="257">
        <f t="shared" si="14"/>
        <v>13717</v>
      </c>
      <c r="AX14" s="79">
        <f t="shared" si="15"/>
        <v>571.54166666666663</v>
      </c>
      <c r="AY14" s="259">
        <f t="shared" si="16"/>
        <v>4347.1333333333332</v>
      </c>
      <c r="AZ14" s="79">
        <f t="shared" si="17"/>
        <v>4487.1750000000002</v>
      </c>
      <c r="BA14" s="677"/>
    </row>
    <row r="15" spans="1:53" s="93" customFormat="1">
      <c r="A15" s="463" t="s">
        <v>84</v>
      </c>
      <c r="B15" s="275" t="s">
        <v>94</v>
      </c>
      <c r="C15" s="463">
        <v>101879</v>
      </c>
      <c r="D15" s="269">
        <v>4</v>
      </c>
      <c r="E15" s="148" t="s">
        <v>393</v>
      </c>
      <c r="F15" s="149"/>
      <c r="G15" s="78"/>
      <c r="H15" s="675"/>
      <c r="I15" s="78">
        <v>67070</v>
      </c>
      <c r="J15" s="675">
        <v>62534</v>
      </c>
      <c r="K15" s="78">
        <v>13519</v>
      </c>
      <c r="L15" s="675">
        <v>13569</v>
      </c>
      <c r="M15" s="78">
        <v>72521</v>
      </c>
      <c r="N15" s="675">
        <v>77132</v>
      </c>
      <c r="O15" s="256">
        <f t="shared" si="0"/>
        <v>153110</v>
      </c>
      <c r="P15" s="89">
        <f t="shared" si="1"/>
        <v>5103.666666666667</v>
      </c>
      <c r="Q15" s="257">
        <f t="shared" si="2"/>
        <v>153235</v>
      </c>
      <c r="R15" s="79">
        <f t="shared" si="3"/>
        <v>5107.833333333333</v>
      </c>
      <c r="S15" s="464"/>
      <c r="T15" s="675"/>
      <c r="U15" s="256">
        <f t="shared" si="4"/>
        <v>0</v>
      </c>
      <c r="V15" s="434">
        <f t="shared" si="5"/>
        <v>0</v>
      </c>
      <c r="W15" s="78"/>
      <c r="X15" s="675"/>
      <c r="Y15" s="78"/>
      <c r="Z15" s="675"/>
      <c r="AA15" s="78"/>
      <c r="AB15" s="675"/>
      <c r="AC15" s="78"/>
      <c r="AD15" s="675"/>
      <c r="AE15" s="256">
        <f t="shared" si="6"/>
        <v>0</v>
      </c>
      <c r="AF15" s="89">
        <f t="shared" si="7"/>
        <v>0</v>
      </c>
      <c r="AG15" s="257">
        <f t="shared" si="8"/>
        <v>0</v>
      </c>
      <c r="AH15" s="79">
        <f t="shared" si="9"/>
        <v>0</v>
      </c>
      <c r="AI15" s="78"/>
      <c r="AJ15" s="675"/>
      <c r="AK15" s="256">
        <f t="shared" si="10"/>
        <v>0</v>
      </c>
      <c r="AL15" s="434">
        <f t="shared" si="11"/>
        <v>0</v>
      </c>
      <c r="AM15" s="78"/>
      <c r="AN15" s="675"/>
      <c r="AO15" s="78">
        <v>9596</v>
      </c>
      <c r="AP15" s="675">
        <v>6593</v>
      </c>
      <c r="AQ15" s="78">
        <v>5952</v>
      </c>
      <c r="AR15" s="675">
        <v>3279</v>
      </c>
      <c r="AS15" s="78">
        <v>7839</v>
      </c>
      <c r="AT15" s="675">
        <v>6319</v>
      </c>
      <c r="AU15" s="258">
        <f t="shared" si="12"/>
        <v>23387</v>
      </c>
      <c r="AV15" s="89">
        <f t="shared" si="13"/>
        <v>974.45833333333337</v>
      </c>
      <c r="AW15" s="257">
        <f t="shared" si="14"/>
        <v>16191</v>
      </c>
      <c r="AX15" s="79">
        <f t="shared" si="15"/>
        <v>674.625</v>
      </c>
      <c r="AY15" s="259">
        <f t="shared" si="16"/>
        <v>6078.125</v>
      </c>
      <c r="AZ15" s="79">
        <f t="shared" si="17"/>
        <v>5782.458333333333</v>
      </c>
      <c r="BA15" s="677"/>
    </row>
    <row r="16" spans="1:53" s="93" customFormat="1">
      <c r="A16" s="463" t="s">
        <v>84</v>
      </c>
      <c r="B16" s="275" t="s">
        <v>95</v>
      </c>
      <c r="C16" s="463">
        <v>101709</v>
      </c>
      <c r="D16" s="269">
        <v>5</v>
      </c>
      <c r="E16" s="148" t="s">
        <v>393</v>
      </c>
      <c r="F16" s="149"/>
      <c r="G16" s="78"/>
      <c r="H16" s="675"/>
      <c r="I16" s="78">
        <v>30842</v>
      </c>
      <c r="J16" s="675">
        <v>32174</v>
      </c>
      <c r="K16" s="78">
        <v>6302</v>
      </c>
      <c r="L16" s="675">
        <v>6714</v>
      </c>
      <c r="M16" s="78">
        <v>34234</v>
      </c>
      <c r="N16" s="675">
        <v>34564</v>
      </c>
      <c r="O16" s="256">
        <f t="shared" si="0"/>
        <v>71378</v>
      </c>
      <c r="P16" s="89">
        <f t="shared" si="1"/>
        <v>2379.2666666666669</v>
      </c>
      <c r="Q16" s="257">
        <f t="shared" si="2"/>
        <v>73452</v>
      </c>
      <c r="R16" s="79">
        <f t="shared" si="3"/>
        <v>2448.4</v>
      </c>
      <c r="S16" s="464"/>
      <c r="T16" s="675"/>
      <c r="U16" s="256">
        <f t="shared" si="4"/>
        <v>0</v>
      </c>
      <c r="V16" s="434">
        <f t="shared" si="5"/>
        <v>0</v>
      </c>
      <c r="W16" s="78"/>
      <c r="X16" s="675"/>
      <c r="Y16" s="78"/>
      <c r="Z16" s="675"/>
      <c r="AA16" s="78"/>
      <c r="AB16" s="675"/>
      <c r="AC16" s="78"/>
      <c r="AD16" s="675"/>
      <c r="AE16" s="256">
        <f t="shared" si="6"/>
        <v>0</v>
      </c>
      <c r="AF16" s="89">
        <f t="shared" si="7"/>
        <v>0</v>
      </c>
      <c r="AG16" s="257">
        <f t="shared" si="8"/>
        <v>0</v>
      </c>
      <c r="AH16" s="79">
        <f t="shared" si="9"/>
        <v>0</v>
      </c>
      <c r="AI16" s="78"/>
      <c r="AJ16" s="675"/>
      <c r="AK16" s="256">
        <f t="shared" si="10"/>
        <v>0</v>
      </c>
      <c r="AL16" s="434">
        <f t="shared" si="11"/>
        <v>0</v>
      </c>
      <c r="AM16" s="78"/>
      <c r="AN16" s="675"/>
      <c r="AO16" s="78">
        <v>2544</v>
      </c>
      <c r="AP16" s="675">
        <v>2899</v>
      </c>
      <c r="AQ16" s="78">
        <v>2335</v>
      </c>
      <c r="AR16" s="675">
        <v>2563</v>
      </c>
      <c r="AS16" s="78">
        <v>2852</v>
      </c>
      <c r="AT16" s="675">
        <v>3213</v>
      </c>
      <c r="AU16" s="258">
        <f t="shared" si="12"/>
        <v>7731</v>
      </c>
      <c r="AV16" s="89">
        <f t="shared" si="13"/>
        <v>322.125</v>
      </c>
      <c r="AW16" s="257">
        <f t="shared" si="14"/>
        <v>8675</v>
      </c>
      <c r="AX16" s="79">
        <f t="shared" si="15"/>
        <v>361.45833333333331</v>
      </c>
      <c r="AY16" s="259">
        <f t="shared" si="16"/>
        <v>2701.3916666666669</v>
      </c>
      <c r="AZ16" s="79">
        <f t="shared" si="17"/>
        <v>2809.8583333333336</v>
      </c>
      <c r="BA16" s="677"/>
    </row>
    <row r="17" spans="1:53" s="93" customFormat="1">
      <c r="A17" s="463" t="s">
        <v>84</v>
      </c>
      <c r="B17" s="275" t="s">
        <v>96</v>
      </c>
      <c r="C17" s="463">
        <v>101587</v>
      </c>
      <c r="D17" s="269">
        <v>5</v>
      </c>
      <c r="E17" s="148" t="s">
        <v>393</v>
      </c>
      <c r="F17" s="149"/>
      <c r="G17" s="78"/>
      <c r="H17" s="675"/>
      <c r="I17" s="78">
        <v>20971</v>
      </c>
      <c r="J17" s="675">
        <v>22376</v>
      </c>
      <c r="K17" s="78">
        <v>5664</v>
      </c>
      <c r="L17" s="675">
        <v>4931</v>
      </c>
      <c r="M17" s="78">
        <v>23435</v>
      </c>
      <c r="N17" s="675">
        <v>24792</v>
      </c>
      <c r="O17" s="256">
        <f t="shared" si="0"/>
        <v>50070</v>
      </c>
      <c r="P17" s="89">
        <f t="shared" si="1"/>
        <v>1669</v>
      </c>
      <c r="Q17" s="257">
        <f t="shared" si="2"/>
        <v>52099</v>
      </c>
      <c r="R17" s="79">
        <f t="shared" si="3"/>
        <v>1736.6333333333334</v>
      </c>
      <c r="S17" s="464"/>
      <c r="T17" s="675"/>
      <c r="U17" s="256">
        <f t="shared" si="4"/>
        <v>0</v>
      </c>
      <c r="V17" s="434">
        <f t="shared" si="5"/>
        <v>0</v>
      </c>
      <c r="W17" s="78"/>
      <c r="X17" s="675"/>
      <c r="Y17" s="78"/>
      <c r="Z17" s="675"/>
      <c r="AA17" s="78"/>
      <c r="AB17" s="675"/>
      <c r="AC17" s="78"/>
      <c r="AD17" s="675"/>
      <c r="AE17" s="256">
        <f t="shared" si="6"/>
        <v>0</v>
      </c>
      <c r="AF17" s="89">
        <f t="shared" si="7"/>
        <v>0</v>
      </c>
      <c r="AG17" s="257">
        <f t="shared" si="8"/>
        <v>0</v>
      </c>
      <c r="AH17" s="79">
        <f t="shared" si="9"/>
        <v>0</v>
      </c>
      <c r="AI17" s="78"/>
      <c r="AJ17" s="675"/>
      <c r="AK17" s="256">
        <f t="shared" si="10"/>
        <v>0</v>
      </c>
      <c r="AL17" s="434">
        <f t="shared" si="11"/>
        <v>0</v>
      </c>
      <c r="AM17" s="78"/>
      <c r="AN17" s="675"/>
      <c r="AO17" s="78">
        <v>10646</v>
      </c>
      <c r="AP17" s="675">
        <v>37069</v>
      </c>
      <c r="AQ17" s="78">
        <v>12468</v>
      </c>
      <c r="AR17" s="675">
        <v>12281</v>
      </c>
      <c r="AS17" s="78">
        <v>18708</v>
      </c>
      <c r="AT17" s="675">
        <v>36975</v>
      </c>
      <c r="AU17" s="258">
        <f t="shared" si="12"/>
        <v>41822</v>
      </c>
      <c r="AV17" s="89">
        <f t="shared" si="13"/>
        <v>1742.5833333333333</v>
      </c>
      <c r="AW17" s="257">
        <f t="shared" si="14"/>
        <v>86325</v>
      </c>
      <c r="AX17" s="79">
        <f t="shared" si="15"/>
        <v>3596.875</v>
      </c>
      <c r="AY17" s="259">
        <f t="shared" si="16"/>
        <v>3411.583333333333</v>
      </c>
      <c r="AZ17" s="79">
        <f t="shared" si="17"/>
        <v>5333.5083333333332</v>
      </c>
      <c r="BA17" s="677"/>
    </row>
    <row r="18" spans="1:53" s="93" customFormat="1">
      <c r="A18" s="463" t="s">
        <v>84</v>
      </c>
      <c r="B18" s="275" t="s">
        <v>97</v>
      </c>
      <c r="C18" s="465">
        <v>100812</v>
      </c>
      <c r="D18" s="269">
        <v>6</v>
      </c>
      <c r="E18" s="148" t="s">
        <v>393</v>
      </c>
      <c r="F18" s="149"/>
      <c r="G18" s="78"/>
      <c r="H18" s="675"/>
      <c r="I18" s="78">
        <v>28160</v>
      </c>
      <c r="J18" s="676">
        <v>30160</v>
      </c>
      <c r="K18" s="78">
        <v>19732</v>
      </c>
      <c r="L18" s="676">
        <v>20119</v>
      </c>
      <c r="M18" s="78">
        <v>31799</v>
      </c>
      <c r="N18" s="675">
        <v>33420</v>
      </c>
      <c r="O18" s="256">
        <f t="shared" si="0"/>
        <v>79691</v>
      </c>
      <c r="P18" s="89">
        <f t="shared" si="1"/>
        <v>2656.3666666666668</v>
      </c>
      <c r="Q18" s="257">
        <f t="shared" si="2"/>
        <v>83699</v>
      </c>
      <c r="R18" s="79">
        <f t="shared" si="3"/>
        <v>2789.9666666666667</v>
      </c>
      <c r="S18" s="464"/>
      <c r="T18" s="675"/>
      <c r="U18" s="256">
        <f t="shared" si="4"/>
        <v>0</v>
      </c>
      <c r="V18" s="434">
        <f t="shared" si="5"/>
        <v>0</v>
      </c>
      <c r="W18" s="78"/>
      <c r="X18" s="675"/>
      <c r="Y18" s="78"/>
      <c r="Z18" s="675"/>
      <c r="AA18" s="78"/>
      <c r="AB18" s="675"/>
      <c r="AC18" s="78"/>
      <c r="AD18" s="675"/>
      <c r="AE18" s="256">
        <f t="shared" si="6"/>
        <v>0</v>
      </c>
      <c r="AF18" s="89">
        <f t="shared" si="7"/>
        <v>0</v>
      </c>
      <c r="AG18" s="257">
        <f t="shared" si="8"/>
        <v>0</v>
      </c>
      <c r="AH18" s="79">
        <f t="shared" si="9"/>
        <v>0</v>
      </c>
      <c r="AI18" s="78"/>
      <c r="AJ18" s="675"/>
      <c r="AK18" s="256">
        <f t="shared" si="10"/>
        <v>0</v>
      </c>
      <c r="AL18" s="434">
        <f t="shared" si="11"/>
        <v>0</v>
      </c>
      <c r="AM18" s="78"/>
      <c r="AN18" s="675"/>
      <c r="AO18" s="78"/>
      <c r="AP18" s="675"/>
      <c r="AQ18" s="78"/>
      <c r="AR18" s="675"/>
      <c r="AS18" s="78"/>
      <c r="AT18" s="675"/>
      <c r="AU18" s="258">
        <f t="shared" si="12"/>
        <v>0</v>
      </c>
      <c r="AV18" s="89">
        <f t="shared" si="13"/>
        <v>0</v>
      </c>
      <c r="AW18" s="257">
        <f t="shared" si="14"/>
        <v>0</v>
      </c>
      <c r="AX18" s="79">
        <f t="shared" si="15"/>
        <v>0</v>
      </c>
      <c r="AY18" s="259">
        <f t="shared" si="16"/>
        <v>2656.3666666666668</v>
      </c>
      <c r="AZ18" s="79">
        <f t="shared" si="17"/>
        <v>2789.9666666666667</v>
      </c>
      <c r="BA18" s="677"/>
    </row>
    <row r="19" spans="1:53" s="93" customFormat="1">
      <c r="A19" s="463" t="s">
        <v>84</v>
      </c>
      <c r="B19" s="275" t="s">
        <v>98</v>
      </c>
      <c r="C19" s="463">
        <v>101505</v>
      </c>
      <c r="D19" s="269">
        <v>8</v>
      </c>
      <c r="E19" s="148" t="s">
        <v>393</v>
      </c>
      <c r="F19" s="149"/>
      <c r="G19" s="78"/>
      <c r="H19" s="675"/>
      <c r="I19" s="78">
        <v>65302</v>
      </c>
      <c r="J19" s="675">
        <v>68896</v>
      </c>
      <c r="K19" s="78">
        <v>34415</v>
      </c>
      <c r="L19" s="675">
        <v>37319</v>
      </c>
      <c r="M19" s="78">
        <v>70740</v>
      </c>
      <c r="N19" s="675">
        <v>72868</v>
      </c>
      <c r="O19" s="256">
        <f t="shared" si="0"/>
        <v>170457</v>
      </c>
      <c r="P19" s="89">
        <f t="shared" si="1"/>
        <v>5681.9</v>
      </c>
      <c r="Q19" s="257">
        <f t="shared" si="2"/>
        <v>179083</v>
      </c>
      <c r="R19" s="79">
        <f t="shared" si="3"/>
        <v>5969.4333333333334</v>
      </c>
      <c r="S19" s="464"/>
      <c r="T19" s="675"/>
      <c r="U19" s="256">
        <f t="shared" si="4"/>
        <v>0</v>
      </c>
      <c r="V19" s="434">
        <f t="shared" si="5"/>
        <v>0</v>
      </c>
      <c r="W19" s="78"/>
      <c r="X19" s="675"/>
      <c r="Y19" s="78"/>
      <c r="Z19" s="675"/>
      <c r="AA19" s="78"/>
      <c r="AB19" s="675"/>
      <c r="AC19" s="78"/>
      <c r="AD19" s="675"/>
      <c r="AE19" s="256">
        <f t="shared" si="6"/>
        <v>0</v>
      </c>
      <c r="AF19" s="89">
        <f t="shared" si="7"/>
        <v>0</v>
      </c>
      <c r="AG19" s="257">
        <f t="shared" si="8"/>
        <v>0</v>
      </c>
      <c r="AH19" s="79">
        <f t="shared" si="9"/>
        <v>0</v>
      </c>
      <c r="AI19" s="78"/>
      <c r="AJ19" s="675"/>
      <c r="AK19" s="256">
        <f t="shared" si="10"/>
        <v>0</v>
      </c>
      <c r="AL19" s="434">
        <f t="shared" si="11"/>
        <v>0</v>
      </c>
      <c r="AM19" s="78"/>
      <c r="AN19" s="675"/>
      <c r="AO19" s="78"/>
      <c r="AP19" s="675"/>
      <c r="AQ19" s="78"/>
      <c r="AR19" s="675"/>
      <c r="AS19" s="78"/>
      <c r="AT19" s="675"/>
      <c r="AU19" s="258">
        <f t="shared" si="12"/>
        <v>0</v>
      </c>
      <c r="AV19" s="89">
        <f t="shared" si="13"/>
        <v>0</v>
      </c>
      <c r="AW19" s="257">
        <f t="shared" si="14"/>
        <v>0</v>
      </c>
      <c r="AX19" s="79">
        <f t="shared" si="15"/>
        <v>0</v>
      </c>
      <c r="AY19" s="259">
        <f t="shared" si="16"/>
        <v>5681.9</v>
      </c>
      <c r="AZ19" s="79">
        <f t="shared" si="17"/>
        <v>5969.4333333333334</v>
      </c>
      <c r="BA19" s="677"/>
    </row>
    <row r="20" spans="1:53" s="93" customFormat="1">
      <c r="A20" s="463" t="s">
        <v>84</v>
      </c>
      <c r="B20" s="275" t="s">
        <v>99</v>
      </c>
      <c r="C20" s="463">
        <v>101514</v>
      </c>
      <c r="D20" s="269">
        <v>8</v>
      </c>
      <c r="E20" s="148" t="s">
        <v>393</v>
      </c>
      <c r="F20" s="149"/>
      <c r="G20" s="78"/>
      <c r="H20" s="675"/>
      <c r="I20" s="78">
        <v>80505</v>
      </c>
      <c r="J20" s="675">
        <v>78829</v>
      </c>
      <c r="K20" s="78">
        <v>34630</v>
      </c>
      <c r="L20" s="675">
        <v>39019</v>
      </c>
      <c r="M20" s="78">
        <v>89719</v>
      </c>
      <c r="N20" s="676">
        <v>102999</v>
      </c>
      <c r="O20" s="256">
        <f t="shared" si="0"/>
        <v>204854</v>
      </c>
      <c r="P20" s="89">
        <f t="shared" si="1"/>
        <v>6828.4666666666662</v>
      </c>
      <c r="Q20" s="257">
        <f t="shared" si="2"/>
        <v>220847</v>
      </c>
      <c r="R20" s="79">
        <f t="shared" si="3"/>
        <v>7361.5666666666666</v>
      </c>
      <c r="S20" s="464"/>
      <c r="T20" s="675"/>
      <c r="U20" s="256">
        <f t="shared" si="4"/>
        <v>0</v>
      </c>
      <c r="V20" s="434">
        <f t="shared" si="5"/>
        <v>0</v>
      </c>
      <c r="W20" s="78"/>
      <c r="X20" s="675"/>
      <c r="Y20" s="78"/>
      <c r="Z20" s="675"/>
      <c r="AA20" s="78"/>
      <c r="AB20" s="675"/>
      <c r="AC20" s="78"/>
      <c r="AD20" s="675"/>
      <c r="AE20" s="256">
        <f t="shared" si="6"/>
        <v>0</v>
      </c>
      <c r="AF20" s="89">
        <f t="shared" si="7"/>
        <v>0</v>
      </c>
      <c r="AG20" s="257">
        <f t="shared" si="8"/>
        <v>0</v>
      </c>
      <c r="AH20" s="79">
        <f t="shared" si="9"/>
        <v>0</v>
      </c>
      <c r="AI20" s="78"/>
      <c r="AJ20" s="675"/>
      <c r="AK20" s="256">
        <f t="shared" si="10"/>
        <v>0</v>
      </c>
      <c r="AL20" s="434">
        <f t="shared" si="11"/>
        <v>0</v>
      </c>
      <c r="AM20" s="78"/>
      <c r="AN20" s="675"/>
      <c r="AO20" s="78"/>
      <c r="AP20" s="675"/>
      <c r="AQ20" s="78"/>
      <c r="AR20" s="675"/>
      <c r="AS20" s="78"/>
      <c r="AT20" s="675"/>
      <c r="AU20" s="258">
        <f t="shared" si="12"/>
        <v>0</v>
      </c>
      <c r="AV20" s="89">
        <f t="shared" si="13"/>
        <v>0</v>
      </c>
      <c r="AW20" s="257">
        <f t="shared" si="14"/>
        <v>0</v>
      </c>
      <c r="AX20" s="79">
        <f t="shared" si="15"/>
        <v>0</v>
      </c>
      <c r="AY20" s="259">
        <f t="shared" si="16"/>
        <v>6828.4666666666662</v>
      </c>
      <c r="AZ20" s="79">
        <f t="shared" si="17"/>
        <v>7361.5666666666666</v>
      </c>
      <c r="BA20" s="677"/>
    </row>
    <row r="21" spans="1:53" s="93" customFormat="1">
      <c r="A21" s="463" t="s">
        <v>84</v>
      </c>
      <c r="B21" s="275" t="s">
        <v>100</v>
      </c>
      <c r="C21" s="463">
        <v>102429</v>
      </c>
      <c r="D21" s="269">
        <v>9</v>
      </c>
      <c r="E21" s="148" t="s">
        <v>393</v>
      </c>
      <c r="F21" s="149"/>
      <c r="G21" s="78"/>
      <c r="H21" s="675"/>
      <c r="I21" s="78">
        <v>42974</v>
      </c>
      <c r="J21" s="675">
        <v>41348</v>
      </c>
      <c r="K21" s="78">
        <v>19778</v>
      </c>
      <c r="L21" s="675">
        <v>19753</v>
      </c>
      <c r="M21" s="78">
        <v>43155</v>
      </c>
      <c r="N21" s="675">
        <v>48671</v>
      </c>
      <c r="O21" s="256">
        <f t="shared" si="0"/>
        <v>105907</v>
      </c>
      <c r="P21" s="89">
        <f t="shared" si="1"/>
        <v>3530.2333333333331</v>
      </c>
      <c r="Q21" s="257">
        <f t="shared" si="2"/>
        <v>109772</v>
      </c>
      <c r="R21" s="79">
        <f t="shared" si="3"/>
        <v>3659.0666666666666</v>
      </c>
      <c r="S21" s="464"/>
      <c r="T21" s="675"/>
      <c r="U21" s="256">
        <f t="shared" si="4"/>
        <v>0</v>
      </c>
      <c r="V21" s="434">
        <f t="shared" si="5"/>
        <v>0</v>
      </c>
      <c r="W21" s="78"/>
      <c r="X21" s="675"/>
      <c r="Y21" s="78"/>
      <c r="Z21" s="675"/>
      <c r="AA21" s="78"/>
      <c r="AB21" s="675"/>
      <c r="AC21" s="78"/>
      <c r="AD21" s="675"/>
      <c r="AE21" s="256">
        <f t="shared" si="6"/>
        <v>0</v>
      </c>
      <c r="AF21" s="89">
        <f t="shared" si="7"/>
        <v>0</v>
      </c>
      <c r="AG21" s="257">
        <f t="shared" si="8"/>
        <v>0</v>
      </c>
      <c r="AH21" s="79">
        <f t="shared" si="9"/>
        <v>0</v>
      </c>
      <c r="AI21" s="78"/>
      <c r="AJ21" s="675"/>
      <c r="AK21" s="256">
        <f t="shared" si="10"/>
        <v>0</v>
      </c>
      <c r="AL21" s="434">
        <f t="shared" si="11"/>
        <v>0</v>
      </c>
      <c r="AM21" s="78"/>
      <c r="AN21" s="675"/>
      <c r="AO21" s="78"/>
      <c r="AP21" s="675"/>
      <c r="AQ21" s="78"/>
      <c r="AR21" s="675"/>
      <c r="AS21" s="78"/>
      <c r="AT21" s="675"/>
      <c r="AU21" s="258">
        <f t="shared" si="12"/>
        <v>0</v>
      </c>
      <c r="AV21" s="89">
        <f t="shared" si="13"/>
        <v>0</v>
      </c>
      <c r="AW21" s="257">
        <f t="shared" si="14"/>
        <v>0</v>
      </c>
      <c r="AX21" s="79">
        <f t="shared" si="15"/>
        <v>0</v>
      </c>
      <c r="AY21" s="259">
        <f t="shared" si="16"/>
        <v>3530.2333333333331</v>
      </c>
      <c r="AZ21" s="79">
        <f t="shared" si="17"/>
        <v>3659.0666666666666</v>
      </c>
      <c r="BA21" s="677"/>
    </row>
    <row r="22" spans="1:53" s="93" customFormat="1">
      <c r="A22" s="463" t="s">
        <v>84</v>
      </c>
      <c r="B22" s="91" t="s">
        <v>101</v>
      </c>
      <c r="C22" s="463">
        <v>102030</v>
      </c>
      <c r="D22" s="269">
        <v>9</v>
      </c>
      <c r="E22" s="148" t="s">
        <v>393</v>
      </c>
      <c r="F22" s="149"/>
      <c r="G22" s="78"/>
      <c r="H22" s="675"/>
      <c r="I22" s="78">
        <v>22251</v>
      </c>
      <c r="J22" s="675">
        <v>30359</v>
      </c>
      <c r="K22" s="78">
        <v>8717</v>
      </c>
      <c r="L22" s="675">
        <v>12997</v>
      </c>
      <c r="M22" s="78">
        <v>27823</v>
      </c>
      <c r="N22" s="675">
        <v>32878</v>
      </c>
      <c r="O22" s="256">
        <f t="shared" si="0"/>
        <v>58791</v>
      </c>
      <c r="P22" s="89">
        <f t="shared" si="1"/>
        <v>1959.7</v>
      </c>
      <c r="Q22" s="257">
        <f t="shared" si="2"/>
        <v>76234</v>
      </c>
      <c r="R22" s="79">
        <f t="shared" si="3"/>
        <v>2541.1333333333332</v>
      </c>
      <c r="S22" s="464"/>
      <c r="T22" s="675"/>
      <c r="U22" s="256">
        <f t="shared" si="4"/>
        <v>0</v>
      </c>
      <c r="V22" s="434">
        <f t="shared" si="5"/>
        <v>0</v>
      </c>
      <c r="W22" s="78"/>
      <c r="X22" s="675"/>
      <c r="Y22" s="78"/>
      <c r="Z22" s="675"/>
      <c r="AA22" s="78"/>
      <c r="AB22" s="675"/>
      <c r="AC22" s="78"/>
      <c r="AD22" s="675"/>
      <c r="AE22" s="256">
        <f t="shared" si="6"/>
        <v>0</v>
      </c>
      <c r="AF22" s="89">
        <f t="shared" si="7"/>
        <v>0</v>
      </c>
      <c r="AG22" s="257">
        <f t="shared" si="8"/>
        <v>0</v>
      </c>
      <c r="AH22" s="79">
        <f t="shared" si="9"/>
        <v>0</v>
      </c>
      <c r="AI22" s="78"/>
      <c r="AJ22" s="675"/>
      <c r="AK22" s="256">
        <f t="shared" si="10"/>
        <v>0</v>
      </c>
      <c r="AL22" s="434">
        <f t="shared" si="11"/>
        <v>0</v>
      </c>
      <c r="AM22" s="78"/>
      <c r="AN22" s="675"/>
      <c r="AO22" s="78"/>
      <c r="AP22" s="675"/>
      <c r="AQ22" s="78"/>
      <c r="AR22" s="675"/>
      <c r="AS22" s="78"/>
      <c r="AT22" s="675"/>
      <c r="AU22" s="258">
        <f t="shared" si="12"/>
        <v>0</v>
      </c>
      <c r="AV22" s="89">
        <f t="shared" si="13"/>
        <v>0</v>
      </c>
      <c r="AW22" s="257">
        <f t="shared" si="14"/>
        <v>0</v>
      </c>
      <c r="AX22" s="79">
        <f t="shared" si="15"/>
        <v>0</v>
      </c>
      <c r="AY22" s="259">
        <f t="shared" si="16"/>
        <v>1959.7</v>
      </c>
      <c r="AZ22" s="79">
        <f t="shared" si="17"/>
        <v>2541.1333333333332</v>
      </c>
      <c r="BA22" s="677"/>
    </row>
    <row r="23" spans="1:53" s="93" customFormat="1">
      <c r="A23" s="463" t="s">
        <v>84</v>
      </c>
      <c r="B23" s="275" t="s">
        <v>102</v>
      </c>
      <c r="C23" s="463">
        <v>101240</v>
      </c>
      <c r="D23" s="269">
        <v>9</v>
      </c>
      <c r="E23" s="148" t="s">
        <v>393</v>
      </c>
      <c r="F23" s="149"/>
      <c r="G23" s="78"/>
      <c r="H23" s="675"/>
      <c r="I23" s="78">
        <v>53216</v>
      </c>
      <c r="J23" s="675">
        <v>61528</v>
      </c>
      <c r="K23" s="78">
        <v>27380</v>
      </c>
      <c r="L23" s="675">
        <v>32487</v>
      </c>
      <c r="M23" s="78">
        <v>61052</v>
      </c>
      <c r="N23" s="675">
        <v>74588</v>
      </c>
      <c r="O23" s="256">
        <f t="shared" si="0"/>
        <v>141648</v>
      </c>
      <c r="P23" s="89">
        <f t="shared" si="1"/>
        <v>4721.6000000000004</v>
      </c>
      <c r="Q23" s="257">
        <f t="shared" si="2"/>
        <v>168603</v>
      </c>
      <c r="R23" s="79">
        <f t="shared" si="3"/>
        <v>5620.1</v>
      </c>
      <c r="S23" s="464"/>
      <c r="T23" s="675"/>
      <c r="U23" s="256">
        <f t="shared" si="4"/>
        <v>0</v>
      </c>
      <c r="V23" s="434">
        <f t="shared" si="5"/>
        <v>0</v>
      </c>
      <c r="W23" s="78"/>
      <c r="X23" s="675"/>
      <c r="Y23" s="78"/>
      <c r="Z23" s="675"/>
      <c r="AA23" s="78"/>
      <c r="AB23" s="675"/>
      <c r="AC23" s="78"/>
      <c r="AD23" s="675"/>
      <c r="AE23" s="256">
        <f t="shared" si="6"/>
        <v>0</v>
      </c>
      <c r="AF23" s="89">
        <f t="shared" si="7"/>
        <v>0</v>
      </c>
      <c r="AG23" s="257">
        <f t="shared" si="8"/>
        <v>0</v>
      </c>
      <c r="AH23" s="79">
        <f t="shared" si="9"/>
        <v>0</v>
      </c>
      <c r="AI23" s="78"/>
      <c r="AJ23" s="675"/>
      <c r="AK23" s="256">
        <f t="shared" si="10"/>
        <v>0</v>
      </c>
      <c r="AL23" s="434">
        <f t="shared" si="11"/>
        <v>0</v>
      </c>
      <c r="AM23" s="78"/>
      <c r="AN23" s="675"/>
      <c r="AO23" s="78"/>
      <c r="AP23" s="675"/>
      <c r="AQ23" s="78"/>
      <c r="AR23" s="675"/>
      <c r="AS23" s="78"/>
      <c r="AT23" s="675"/>
      <c r="AU23" s="258">
        <f t="shared" si="12"/>
        <v>0</v>
      </c>
      <c r="AV23" s="89">
        <f t="shared" si="13"/>
        <v>0</v>
      </c>
      <c r="AW23" s="257">
        <f t="shared" si="14"/>
        <v>0</v>
      </c>
      <c r="AX23" s="79">
        <f t="shared" si="15"/>
        <v>0</v>
      </c>
      <c r="AY23" s="259">
        <f t="shared" si="16"/>
        <v>4721.6000000000004</v>
      </c>
      <c r="AZ23" s="79">
        <f t="shared" si="17"/>
        <v>5620.1</v>
      </c>
      <c r="BA23" s="677"/>
    </row>
    <row r="24" spans="1:53" s="93" customFormat="1">
      <c r="A24" s="463" t="s">
        <v>84</v>
      </c>
      <c r="B24" s="275" t="s">
        <v>103</v>
      </c>
      <c r="C24" s="463">
        <v>101286</v>
      </c>
      <c r="D24" s="269">
        <v>9</v>
      </c>
      <c r="E24" s="148" t="s">
        <v>393</v>
      </c>
      <c r="F24" s="149"/>
      <c r="G24" s="78"/>
      <c r="H24" s="675"/>
      <c r="I24" s="78">
        <v>35225</v>
      </c>
      <c r="J24" s="675">
        <v>40226</v>
      </c>
      <c r="K24" s="78">
        <v>21510</v>
      </c>
      <c r="L24" s="675">
        <v>24555</v>
      </c>
      <c r="M24" s="78">
        <v>40573</v>
      </c>
      <c r="N24" s="675">
        <v>48899</v>
      </c>
      <c r="O24" s="256">
        <f t="shared" si="0"/>
        <v>97308</v>
      </c>
      <c r="P24" s="89">
        <f t="shared" si="1"/>
        <v>3243.6</v>
      </c>
      <c r="Q24" s="257">
        <f t="shared" si="2"/>
        <v>113680</v>
      </c>
      <c r="R24" s="79">
        <f t="shared" si="3"/>
        <v>3789.3333333333335</v>
      </c>
      <c r="S24" s="464"/>
      <c r="T24" s="675"/>
      <c r="U24" s="256">
        <f t="shared" si="4"/>
        <v>0</v>
      </c>
      <c r="V24" s="434">
        <f t="shared" si="5"/>
        <v>0</v>
      </c>
      <c r="W24" s="78"/>
      <c r="X24" s="675"/>
      <c r="Y24" s="78"/>
      <c r="Z24" s="675"/>
      <c r="AA24" s="78"/>
      <c r="AB24" s="675"/>
      <c r="AC24" s="78"/>
      <c r="AD24" s="675"/>
      <c r="AE24" s="256">
        <f t="shared" si="6"/>
        <v>0</v>
      </c>
      <c r="AF24" s="89">
        <f t="shared" si="7"/>
        <v>0</v>
      </c>
      <c r="AG24" s="257">
        <f t="shared" si="8"/>
        <v>0</v>
      </c>
      <c r="AH24" s="79">
        <f t="shared" si="9"/>
        <v>0</v>
      </c>
      <c r="AI24" s="78"/>
      <c r="AJ24" s="675"/>
      <c r="AK24" s="256">
        <f t="shared" si="10"/>
        <v>0</v>
      </c>
      <c r="AL24" s="434">
        <f t="shared" si="11"/>
        <v>0</v>
      </c>
      <c r="AM24" s="78"/>
      <c r="AN24" s="675"/>
      <c r="AO24" s="78"/>
      <c r="AP24" s="675"/>
      <c r="AQ24" s="78"/>
      <c r="AR24" s="675"/>
      <c r="AS24" s="78"/>
      <c r="AT24" s="675"/>
      <c r="AU24" s="258">
        <f t="shared" si="12"/>
        <v>0</v>
      </c>
      <c r="AV24" s="89">
        <f t="shared" si="13"/>
        <v>0</v>
      </c>
      <c r="AW24" s="257">
        <f t="shared" si="14"/>
        <v>0</v>
      </c>
      <c r="AX24" s="79">
        <f t="shared" si="15"/>
        <v>0</v>
      </c>
      <c r="AY24" s="259">
        <f t="shared" si="16"/>
        <v>3243.6</v>
      </c>
      <c r="AZ24" s="79">
        <f t="shared" si="17"/>
        <v>3789.3333333333335</v>
      </c>
      <c r="BA24" s="677"/>
    </row>
    <row r="25" spans="1:53" s="93" customFormat="1">
      <c r="A25" s="463" t="s">
        <v>84</v>
      </c>
      <c r="B25" s="275" t="s">
        <v>104</v>
      </c>
      <c r="C25" s="463">
        <v>101161</v>
      </c>
      <c r="D25" s="269">
        <v>9</v>
      </c>
      <c r="E25" s="148" t="s">
        <v>393</v>
      </c>
      <c r="F25" s="149"/>
      <c r="G25" s="78"/>
      <c r="H25" s="675"/>
      <c r="I25" s="78">
        <v>37198</v>
      </c>
      <c r="J25" s="675">
        <v>38630</v>
      </c>
      <c r="K25" s="78">
        <v>16171</v>
      </c>
      <c r="L25" s="675">
        <v>18657</v>
      </c>
      <c r="M25" s="78">
        <v>39679</v>
      </c>
      <c r="N25" s="675">
        <v>47418</v>
      </c>
      <c r="O25" s="256">
        <f t="shared" si="0"/>
        <v>93048</v>
      </c>
      <c r="P25" s="89">
        <f t="shared" si="1"/>
        <v>3101.6</v>
      </c>
      <c r="Q25" s="257">
        <f t="shared" si="2"/>
        <v>104705</v>
      </c>
      <c r="R25" s="79">
        <f t="shared" si="3"/>
        <v>3490.1666666666665</v>
      </c>
      <c r="S25" s="464"/>
      <c r="T25" s="675"/>
      <c r="U25" s="256">
        <f t="shared" si="4"/>
        <v>0</v>
      </c>
      <c r="V25" s="434">
        <f t="shared" si="5"/>
        <v>0</v>
      </c>
      <c r="W25" s="78"/>
      <c r="X25" s="675"/>
      <c r="Y25" s="78"/>
      <c r="Z25" s="675"/>
      <c r="AA25" s="78"/>
      <c r="AB25" s="675"/>
      <c r="AC25" s="78"/>
      <c r="AD25" s="675"/>
      <c r="AE25" s="256">
        <f t="shared" si="6"/>
        <v>0</v>
      </c>
      <c r="AF25" s="89">
        <f t="shared" si="7"/>
        <v>0</v>
      </c>
      <c r="AG25" s="257">
        <f t="shared" si="8"/>
        <v>0</v>
      </c>
      <c r="AH25" s="79">
        <f t="shared" si="9"/>
        <v>0</v>
      </c>
      <c r="AI25" s="78"/>
      <c r="AJ25" s="675"/>
      <c r="AK25" s="256">
        <f t="shared" si="10"/>
        <v>0</v>
      </c>
      <c r="AL25" s="434">
        <f t="shared" si="11"/>
        <v>0</v>
      </c>
      <c r="AM25" s="78"/>
      <c r="AN25" s="675"/>
      <c r="AO25" s="78"/>
      <c r="AP25" s="675"/>
      <c r="AQ25" s="78"/>
      <c r="AR25" s="675"/>
      <c r="AS25" s="78"/>
      <c r="AT25" s="675"/>
      <c r="AU25" s="258">
        <f t="shared" si="12"/>
        <v>0</v>
      </c>
      <c r="AV25" s="89">
        <f t="shared" si="13"/>
        <v>0</v>
      </c>
      <c r="AW25" s="257">
        <f t="shared" si="14"/>
        <v>0</v>
      </c>
      <c r="AX25" s="79">
        <f t="shared" si="15"/>
        <v>0</v>
      </c>
      <c r="AY25" s="259">
        <f t="shared" si="16"/>
        <v>3101.6</v>
      </c>
      <c r="AZ25" s="79">
        <f t="shared" si="17"/>
        <v>3490.1666666666665</v>
      </c>
      <c r="BA25" s="677"/>
    </row>
    <row r="26" spans="1:53" s="93" customFormat="1">
      <c r="A26" s="463" t="s">
        <v>84</v>
      </c>
      <c r="B26" s="275" t="s">
        <v>105</v>
      </c>
      <c r="C26" s="463">
        <v>101569</v>
      </c>
      <c r="D26" s="269">
        <v>9</v>
      </c>
      <c r="E26" s="148" t="s">
        <v>393</v>
      </c>
      <c r="F26" s="149"/>
      <c r="G26" s="78"/>
      <c r="H26" s="675"/>
      <c r="I26" s="78">
        <v>31205</v>
      </c>
      <c r="J26" s="675">
        <v>35942</v>
      </c>
      <c r="K26" s="78">
        <v>14691</v>
      </c>
      <c r="L26" s="675">
        <v>16469</v>
      </c>
      <c r="M26" s="78">
        <v>36591</v>
      </c>
      <c r="N26" s="675">
        <v>46227</v>
      </c>
      <c r="O26" s="256">
        <f t="shared" si="0"/>
        <v>82487</v>
      </c>
      <c r="P26" s="89">
        <f t="shared" si="1"/>
        <v>2749.5666666666666</v>
      </c>
      <c r="Q26" s="257">
        <f t="shared" si="2"/>
        <v>98638</v>
      </c>
      <c r="R26" s="79">
        <f t="shared" si="3"/>
        <v>3287.9333333333334</v>
      </c>
      <c r="S26" s="464"/>
      <c r="T26" s="675"/>
      <c r="U26" s="256">
        <f t="shared" si="4"/>
        <v>0</v>
      </c>
      <c r="V26" s="434">
        <f t="shared" si="5"/>
        <v>0</v>
      </c>
      <c r="W26" s="78"/>
      <c r="X26" s="675"/>
      <c r="Y26" s="78"/>
      <c r="Z26" s="675"/>
      <c r="AA26" s="78"/>
      <c r="AB26" s="675"/>
      <c r="AC26" s="78"/>
      <c r="AD26" s="675"/>
      <c r="AE26" s="256">
        <f t="shared" si="6"/>
        <v>0</v>
      </c>
      <c r="AF26" s="89">
        <f t="shared" si="7"/>
        <v>0</v>
      </c>
      <c r="AG26" s="257">
        <f t="shared" si="8"/>
        <v>0</v>
      </c>
      <c r="AH26" s="79">
        <f t="shared" si="9"/>
        <v>0</v>
      </c>
      <c r="AI26" s="78"/>
      <c r="AJ26" s="675"/>
      <c r="AK26" s="256">
        <f t="shared" si="10"/>
        <v>0</v>
      </c>
      <c r="AL26" s="434">
        <f t="shared" si="11"/>
        <v>0</v>
      </c>
      <c r="AM26" s="78"/>
      <c r="AN26" s="675"/>
      <c r="AO26" s="78"/>
      <c r="AP26" s="675"/>
      <c r="AQ26" s="78"/>
      <c r="AR26" s="675"/>
      <c r="AS26" s="78"/>
      <c r="AT26" s="675"/>
      <c r="AU26" s="258">
        <f t="shared" si="12"/>
        <v>0</v>
      </c>
      <c r="AV26" s="89">
        <f t="shared" si="13"/>
        <v>0</v>
      </c>
      <c r="AW26" s="257">
        <f t="shared" si="14"/>
        <v>0</v>
      </c>
      <c r="AX26" s="79">
        <f t="shared" si="15"/>
        <v>0</v>
      </c>
      <c r="AY26" s="259">
        <f t="shared" si="16"/>
        <v>2749.5666666666666</v>
      </c>
      <c r="AZ26" s="79">
        <f t="shared" si="17"/>
        <v>3287.9333333333334</v>
      </c>
      <c r="BA26" s="677"/>
    </row>
    <row r="27" spans="1:53" s="93" customFormat="1">
      <c r="A27" s="463" t="s">
        <v>84</v>
      </c>
      <c r="B27" s="275" t="s">
        <v>106</v>
      </c>
      <c r="C27" s="463">
        <v>101736</v>
      </c>
      <c r="D27" s="269">
        <v>9</v>
      </c>
      <c r="E27" s="148" t="s">
        <v>393</v>
      </c>
      <c r="F27" s="149"/>
      <c r="G27" s="78"/>
      <c r="H27" s="675"/>
      <c r="I27" s="78">
        <v>34598</v>
      </c>
      <c r="J27" s="675">
        <v>36510</v>
      </c>
      <c r="K27" s="78">
        <v>13352</v>
      </c>
      <c r="L27" s="675">
        <v>15544</v>
      </c>
      <c r="M27" s="78">
        <v>39307</v>
      </c>
      <c r="N27" s="675">
        <v>45019</v>
      </c>
      <c r="O27" s="256">
        <f t="shared" si="0"/>
        <v>87257</v>
      </c>
      <c r="P27" s="89">
        <f t="shared" si="1"/>
        <v>2908.5666666666666</v>
      </c>
      <c r="Q27" s="257">
        <f t="shared" si="2"/>
        <v>97073</v>
      </c>
      <c r="R27" s="79">
        <f t="shared" si="3"/>
        <v>3235.7666666666669</v>
      </c>
      <c r="S27" s="464"/>
      <c r="T27" s="675"/>
      <c r="U27" s="256">
        <f t="shared" si="4"/>
        <v>0</v>
      </c>
      <c r="V27" s="434">
        <f t="shared" si="5"/>
        <v>0</v>
      </c>
      <c r="W27" s="78"/>
      <c r="X27" s="675"/>
      <c r="Y27" s="78"/>
      <c r="Z27" s="675"/>
      <c r="AA27" s="78"/>
      <c r="AB27" s="675"/>
      <c r="AC27" s="78"/>
      <c r="AD27" s="675"/>
      <c r="AE27" s="256">
        <f t="shared" si="6"/>
        <v>0</v>
      </c>
      <c r="AF27" s="89">
        <f t="shared" si="7"/>
        <v>0</v>
      </c>
      <c r="AG27" s="257">
        <f t="shared" si="8"/>
        <v>0</v>
      </c>
      <c r="AH27" s="79">
        <f t="shared" si="9"/>
        <v>0</v>
      </c>
      <c r="AI27" s="78"/>
      <c r="AJ27" s="675"/>
      <c r="AK27" s="256">
        <f t="shared" si="10"/>
        <v>0</v>
      </c>
      <c r="AL27" s="434">
        <f t="shared" si="11"/>
        <v>0</v>
      </c>
      <c r="AM27" s="78"/>
      <c r="AN27" s="675"/>
      <c r="AO27" s="78"/>
      <c r="AP27" s="675"/>
      <c r="AQ27" s="78"/>
      <c r="AR27" s="675"/>
      <c r="AS27" s="78"/>
      <c r="AT27" s="675"/>
      <c r="AU27" s="258">
        <f t="shared" si="12"/>
        <v>0</v>
      </c>
      <c r="AV27" s="89">
        <f t="shared" si="13"/>
        <v>0</v>
      </c>
      <c r="AW27" s="257">
        <f t="shared" si="14"/>
        <v>0</v>
      </c>
      <c r="AX27" s="79">
        <f t="shared" si="15"/>
        <v>0</v>
      </c>
      <c r="AY27" s="259">
        <f t="shared" si="16"/>
        <v>2908.5666666666666</v>
      </c>
      <c r="AZ27" s="79">
        <f t="shared" si="17"/>
        <v>3235.7666666666669</v>
      </c>
      <c r="BA27" s="677"/>
    </row>
    <row r="28" spans="1:53" s="93" customFormat="1">
      <c r="A28" s="463" t="s">
        <v>84</v>
      </c>
      <c r="B28" s="275" t="s">
        <v>107</v>
      </c>
      <c r="C28" s="463">
        <v>102067</v>
      </c>
      <c r="D28" s="269">
        <v>9</v>
      </c>
      <c r="E28" s="148" t="s">
        <v>393</v>
      </c>
      <c r="F28" s="149"/>
      <c r="G28" s="78"/>
      <c r="H28" s="675"/>
      <c r="I28" s="78">
        <v>48539</v>
      </c>
      <c r="J28" s="675">
        <v>53851</v>
      </c>
      <c r="K28" s="78">
        <v>24349</v>
      </c>
      <c r="L28" s="675">
        <v>27957</v>
      </c>
      <c r="M28" s="78">
        <v>57506</v>
      </c>
      <c r="N28" s="675">
        <v>61505</v>
      </c>
      <c r="O28" s="256">
        <f t="shared" si="0"/>
        <v>130394</v>
      </c>
      <c r="P28" s="89">
        <f t="shared" si="1"/>
        <v>4346.4666666666662</v>
      </c>
      <c r="Q28" s="257">
        <f t="shared" si="2"/>
        <v>143313</v>
      </c>
      <c r="R28" s="79">
        <f t="shared" si="3"/>
        <v>4777.1000000000004</v>
      </c>
      <c r="S28" s="464"/>
      <c r="T28" s="675"/>
      <c r="U28" s="256">
        <f t="shared" si="4"/>
        <v>0</v>
      </c>
      <c r="V28" s="434">
        <f t="shared" si="5"/>
        <v>0</v>
      </c>
      <c r="W28" s="78"/>
      <c r="X28" s="675"/>
      <c r="Y28" s="78"/>
      <c r="Z28" s="675"/>
      <c r="AA28" s="78"/>
      <c r="AB28" s="675"/>
      <c r="AC28" s="78"/>
      <c r="AD28" s="675"/>
      <c r="AE28" s="256">
        <f t="shared" si="6"/>
        <v>0</v>
      </c>
      <c r="AF28" s="89">
        <f t="shared" si="7"/>
        <v>0</v>
      </c>
      <c r="AG28" s="257">
        <f t="shared" si="8"/>
        <v>0</v>
      </c>
      <c r="AH28" s="79">
        <f t="shared" si="9"/>
        <v>0</v>
      </c>
      <c r="AI28" s="78"/>
      <c r="AJ28" s="675"/>
      <c r="AK28" s="256">
        <f t="shared" si="10"/>
        <v>0</v>
      </c>
      <c r="AL28" s="434">
        <f t="shared" si="11"/>
        <v>0</v>
      </c>
      <c r="AM28" s="78"/>
      <c r="AN28" s="675"/>
      <c r="AO28" s="78"/>
      <c r="AP28" s="675"/>
      <c r="AQ28" s="78"/>
      <c r="AR28" s="675"/>
      <c r="AS28" s="78"/>
      <c r="AT28" s="675"/>
      <c r="AU28" s="258">
        <f t="shared" si="12"/>
        <v>0</v>
      </c>
      <c r="AV28" s="89">
        <f t="shared" si="13"/>
        <v>0</v>
      </c>
      <c r="AW28" s="257">
        <f t="shared" si="14"/>
        <v>0</v>
      </c>
      <c r="AX28" s="79">
        <f t="shared" si="15"/>
        <v>0</v>
      </c>
      <c r="AY28" s="259">
        <f t="shared" si="16"/>
        <v>4346.4666666666662</v>
      </c>
      <c r="AZ28" s="79">
        <f t="shared" si="17"/>
        <v>4777.1000000000004</v>
      </c>
      <c r="BA28" s="677"/>
    </row>
    <row r="29" spans="1:53" s="93" customFormat="1">
      <c r="A29" s="463" t="s">
        <v>84</v>
      </c>
      <c r="B29" s="275" t="s">
        <v>108</v>
      </c>
      <c r="C29" s="463">
        <v>251260</v>
      </c>
      <c r="D29" s="269">
        <v>9</v>
      </c>
      <c r="E29" s="148" t="s">
        <v>393</v>
      </c>
      <c r="F29" s="149"/>
      <c r="G29" s="78"/>
      <c r="H29" s="675"/>
      <c r="I29" s="78">
        <v>50763</v>
      </c>
      <c r="J29" s="675">
        <v>52903</v>
      </c>
      <c r="K29" s="78">
        <v>23506</v>
      </c>
      <c r="L29" s="675">
        <v>24881</v>
      </c>
      <c r="M29" s="78">
        <v>55765</v>
      </c>
      <c r="N29" s="675">
        <v>56708</v>
      </c>
      <c r="O29" s="256">
        <f t="shared" si="0"/>
        <v>130034</v>
      </c>
      <c r="P29" s="89">
        <f t="shared" si="1"/>
        <v>4334.4666666666662</v>
      </c>
      <c r="Q29" s="257">
        <f t="shared" si="2"/>
        <v>134492</v>
      </c>
      <c r="R29" s="79">
        <f t="shared" si="3"/>
        <v>4483.0666666666666</v>
      </c>
      <c r="S29" s="464"/>
      <c r="T29" s="675"/>
      <c r="U29" s="256">
        <f t="shared" si="4"/>
        <v>0</v>
      </c>
      <c r="V29" s="434">
        <f t="shared" si="5"/>
        <v>0</v>
      </c>
      <c r="W29" s="78"/>
      <c r="X29" s="675"/>
      <c r="Y29" s="78"/>
      <c r="Z29" s="675"/>
      <c r="AA29" s="78"/>
      <c r="AB29" s="675"/>
      <c r="AC29" s="78"/>
      <c r="AD29" s="675"/>
      <c r="AE29" s="256">
        <f t="shared" si="6"/>
        <v>0</v>
      </c>
      <c r="AF29" s="89">
        <f t="shared" si="7"/>
        <v>0</v>
      </c>
      <c r="AG29" s="257">
        <f t="shared" si="8"/>
        <v>0</v>
      </c>
      <c r="AH29" s="79">
        <f t="shared" si="9"/>
        <v>0</v>
      </c>
      <c r="AI29" s="78"/>
      <c r="AJ29" s="675"/>
      <c r="AK29" s="256">
        <f t="shared" si="10"/>
        <v>0</v>
      </c>
      <c r="AL29" s="434">
        <f t="shared" si="11"/>
        <v>0</v>
      </c>
      <c r="AM29" s="78"/>
      <c r="AN29" s="675"/>
      <c r="AO29" s="78"/>
      <c r="AP29" s="675"/>
      <c r="AQ29" s="78"/>
      <c r="AR29" s="675"/>
      <c r="AS29" s="78"/>
      <c r="AT29" s="675"/>
      <c r="AU29" s="258">
        <f t="shared" si="12"/>
        <v>0</v>
      </c>
      <c r="AV29" s="89">
        <f t="shared" si="13"/>
        <v>0</v>
      </c>
      <c r="AW29" s="257">
        <f t="shared" si="14"/>
        <v>0</v>
      </c>
      <c r="AX29" s="79">
        <f t="shared" si="15"/>
        <v>0</v>
      </c>
      <c r="AY29" s="259">
        <f t="shared" si="16"/>
        <v>4334.4666666666662</v>
      </c>
      <c r="AZ29" s="79">
        <f t="shared" si="17"/>
        <v>4483.0666666666666</v>
      </c>
      <c r="BA29" s="677"/>
    </row>
    <row r="30" spans="1:53" s="93" customFormat="1">
      <c r="A30" s="463" t="s">
        <v>84</v>
      </c>
      <c r="B30" s="275" t="s">
        <v>109</v>
      </c>
      <c r="C30" s="463">
        <v>101295</v>
      </c>
      <c r="D30" s="269">
        <v>9</v>
      </c>
      <c r="E30" s="148" t="s">
        <v>393</v>
      </c>
      <c r="F30" s="149"/>
      <c r="G30" s="78"/>
      <c r="H30" s="675"/>
      <c r="I30" s="78">
        <v>56083</v>
      </c>
      <c r="J30" s="675">
        <v>60100</v>
      </c>
      <c r="K30" s="78">
        <v>25950</v>
      </c>
      <c r="L30" s="675">
        <v>29288</v>
      </c>
      <c r="M30" s="78">
        <v>59763</v>
      </c>
      <c r="N30" s="675">
        <v>67937</v>
      </c>
      <c r="O30" s="256">
        <f t="shared" si="0"/>
        <v>141796</v>
      </c>
      <c r="P30" s="89">
        <f t="shared" si="1"/>
        <v>4726.5333333333338</v>
      </c>
      <c r="Q30" s="257">
        <f t="shared" si="2"/>
        <v>157325</v>
      </c>
      <c r="R30" s="79">
        <f t="shared" si="3"/>
        <v>5244.166666666667</v>
      </c>
      <c r="S30" s="464"/>
      <c r="T30" s="675"/>
      <c r="U30" s="256">
        <f t="shared" si="4"/>
        <v>0</v>
      </c>
      <c r="V30" s="434">
        <f t="shared" si="5"/>
        <v>0</v>
      </c>
      <c r="W30" s="78"/>
      <c r="X30" s="675"/>
      <c r="Y30" s="78"/>
      <c r="Z30" s="675"/>
      <c r="AA30" s="78"/>
      <c r="AB30" s="675"/>
      <c r="AC30" s="78"/>
      <c r="AD30" s="675"/>
      <c r="AE30" s="256">
        <f t="shared" si="6"/>
        <v>0</v>
      </c>
      <c r="AF30" s="89">
        <f t="shared" si="7"/>
        <v>0</v>
      </c>
      <c r="AG30" s="257">
        <f t="shared" si="8"/>
        <v>0</v>
      </c>
      <c r="AH30" s="79">
        <f t="shared" si="9"/>
        <v>0</v>
      </c>
      <c r="AI30" s="78"/>
      <c r="AJ30" s="675"/>
      <c r="AK30" s="256">
        <f t="shared" si="10"/>
        <v>0</v>
      </c>
      <c r="AL30" s="434">
        <f t="shared" si="11"/>
        <v>0</v>
      </c>
      <c r="AM30" s="78"/>
      <c r="AN30" s="675"/>
      <c r="AO30" s="78"/>
      <c r="AP30" s="675"/>
      <c r="AQ30" s="78"/>
      <c r="AR30" s="675"/>
      <c r="AS30" s="78"/>
      <c r="AT30" s="675"/>
      <c r="AU30" s="258">
        <f t="shared" si="12"/>
        <v>0</v>
      </c>
      <c r="AV30" s="89">
        <f t="shared" si="13"/>
        <v>0</v>
      </c>
      <c r="AW30" s="257">
        <f t="shared" si="14"/>
        <v>0</v>
      </c>
      <c r="AX30" s="79">
        <f t="shared" si="15"/>
        <v>0</v>
      </c>
      <c r="AY30" s="259">
        <f t="shared" si="16"/>
        <v>4726.5333333333338</v>
      </c>
      <c r="AZ30" s="79">
        <f t="shared" si="17"/>
        <v>5244.166666666667</v>
      </c>
      <c r="BA30" s="677"/>
    </row>
    <row r="31" spans="1:53" s="93" customFormat="1">
      <c r="A31" s="463" t="s">
        <v>84</v>
      </c>
      <c r="B31" s="275" t="s">
        <v>110</v>
      </c>
      <c r="C31" s="463">
        <v>101949</v>
      </c>
      <c r="D31" s="269">
        <v>10</v>
      </c>
      <c r="E31" s="148" t="s">
        <v>393</v>
      </c>
      <c r="F31" s="149"/>
      <c r="G31" s="78"/>
      <c r="H31" s="675"/>
      <c r="I31" s="78">
        <v>12753</v>
      </c>
      <c r="J31" s="675">
        <v>13838</v>
      </c>
      <c r="K31" s="78">
        <v>5880</v>
      </c>
      <c r="L31" s="675">
        <v>6275</v>
      </c>
      <c r="M31" s="78">
        <v>14803</v>
      </c>
      <c r="N31" s="675">
        <v>15998</v>
      </c>
      <c r="O31" s="256">
        <f t="shared" si="0"/>
        <v>33436</v>
      </c>
      <c r="P31" s="89">
        <f t="shared" si="1"/>
        <v>1114.5333333333333</v>
      </c>
      <c r="Q31" s="257">
        <f t="shared" si="2"/>
        <v>36111</v>
      </c>
      <c r="R31" s="79">
        <f t="shared" si="3"/>
        <v>1203.7</v>
      </c>
      <c r="S31" s="464"/>
      <c r="T31" s="675"/>
      <c r="U31" s="256">
        <f t="shared" si="4"/>
        <v>0</v>
      </c>
      <c r="V31" s="434">
        <f t="shared" si="5"/>
        <v>0</v>
      </c>
      <c r="W31" s="78"/>
      <c r="X31" s="675"/>
      <c r="Y31" s="78"/>
      <c r="Z31" s="675"/>
      <c r="AA31" s="78"/>
      <c r="AB31" s="675"/>
      <c r="AC31" s="78"/>
      <c r="AD31" s="675"/>
      <c r="AE31" s="256">
        <f t="shared" si="6"/>
        <v>0</v>
      </c>
      <c r="AF31" s="89">
        <f t="shared" si="7"/>
        <v>0</v>
      </c>
      <c r="AG31" s="257">
        <f t="shared" si="8"/>
        <v>0</v>
      </c>
      <c r="AH31" s="79">
        <f t="shared" si="9"/>
        <v>0</v>
      </c>
      <c r="AI31" s="78"/>
      <c r="AJ31" s="675"/>
      <c r="AK31" s="256">
        <f t="shared" si="10"/>
        <v>0</v>
      </c>
      <c r="AL31" s="434">
        <f t="shared" si="11"/>
        <v>0</v>
      </c>
      <c r="AM31" s="78"/>
      <c r="AN31" s="675"/>
      <c r="AO31" s="78"/>
      <c r="AP31" s="675"/>
      <c r="AQ31" s="78"/>
      <c r="AR31" s="675"/>
      <c r="AS31" s="78"/>
      <c r="AT31" s="675"/>
      <c r="AU31" s="258">
        <f t="shared" si="12"/>
        <v>0</v>
      </c>
      <c r="AV31" s="89">
        <f t="shared" si="13"/>
        <v>0</v>
      </c>
      <c r="AW31" s="257">
        <f t="shared" si="14"/>
        <v>0</v>
      </c>
      <c r="AX31" s="79">
        <f t="shared" si="15"/>
        <v>0</v>
      </c>
      <c r="AY31" s="259">
        <f t="shared" si="16"/>
        <v>1114.5333333333333</v>
      </c>
      <c r="AZ31" s="79">
        <f t="shared" si="17"/>
        <v>1203.7</v>
      </c>
      <c r="BA31" s="677"/>
    </row>
    <row r="32" spans="1:53" s="93" customFormat="1">
      <c r="A32" s="463" t="s">
        <v>84</v>
      </c>
      <c r="B32" s="275" t="s">
        <v>111</v>
      </c>
      <c r="C32" s="463">
        <v>100760</v>
      </c>
      <c r="D32" s="269">
        <v>10</v>
      </c>
      <c r="E32" s="148" t="s">
        <v>393</v>
      </c>
      <c r="F32" s="149"/>
      <c r="G32" s="78"/>
      <c r="H32" s="675"/>
      <c r="I32" s="78">
        <v>22591</v>
      </c>
      <c r="J32" s="675">
        <v>23238</v>
      </c>
      <c r="K32" s="78">
        <v>10852</v>
      </c>
      <c r="L32" s="675">
        <v>12159</v>
      </c>
      <c r="M32" s="78">
        <v>23790</v>
      </c>
      <c r="N32" s="675">
        <v>26435</v>
      </c>
      <c r="O32" s="256">
        <f t="shared" si="0"/>
        <v>57233</v>
      </c>
      <c r="P32" s="89">
        <f t="shared" si="1"/>
        <v>1907.7666666666667</v>
      </c>
      <c r="Q32" s="257">
        <f t="shared" si="2"/>
        <v>61832</v>
      </c>
      <c r="R32" s="79">
        <f t="shared" si="3"/>
        <v>2061.0666666666666</v>
      </c>
      <c r="S32" s="464"/>
      <c r="T32" s="675"/>
      <c r="U32" s="256">
        <f t="shared" si="4"/>
        <v>0</v>
      </c>
      <c r="V32" s="434">
        <f t="shared" si="5"/>
        <v>0</v>
      </c>
      <c r="W32" s="78"/>
      <c r="X32" s="675"/>
      <c r="Y32" s="78"/>
      <c r="Z32" s="675"/>
      <c r="AA32" s="78"/>
      <c r="AB32" s="675"/>
      <c r="AC32" s="78"/>
      <c r="AD32" s="675"/>
      <c r="AE32" s="256">
        <f t="shared" si="6"/>
        <v>0</v>
      </c>
      <c r="AF32" s="89">
        <f t="shared" si="7"/>
        <v>0</v>
      </c>
      <c r="AG32" s="257">
        <f t="shared" si="8"/>
        <v>0</v>
      </c>
      <c r="AH32" s="79">
        <f t="shared" si="9"/>
        <v>0</v>
      </c>
      <c r="AI32" s="78"/>
      <c r="AJ32" s="675"/>
      <c r="AK32" s="256">
        <f t="shared" si="10"/>
        <v>0</v>
      </c>
      <c r="AL32" s="434">
        <f t="shared" si="11"/>
        <v>0</v>
      </c>
      <c r="AM32" s="78"/>
      <c r="AN32" s="675"/>
      <c r="AO32" s="78"/>
      <c r="AP32" s="675"/>
      <c r="AQ32" s="78"/>
      <c r="AR32" s="675"/>
      <c r="AS32" s="78"/>
      <c r="AT32" s="675"/>
      <c r="AU32" s="258">
        <f t="shared" si="12"/>
        <v>0</v>
      </c>
      <c r="AV32" s="89">
        <f t="shared" si="13"/>
        <v>0</v>
      </c>
      <c r="AW32" s="257">
        <f t="shared" si="14"/>
        <v>0</v>
      </c>
      <c r="AX32" s="79">
        <f t="shared" si="15"/>
        <v>0</v>
      </c>
      <c r="AY32" s="259">
        <f t="shared" si="16"/>
        <v>1907.7666666666667</v>
      </c>
      <c r="AZ32" s="79">
        <f t="shared" si="17"/>
        <v>2061.0666666666666</v>
      </c>
      <c r="BA32" s="677"/>
    </row>
    <row r="33" spans="1:53" s="93" customFormat="1">
      <c r="A33" s="463" t="s">
        <v>84</v>
      </c>
      <c r="B33" s="275" t="s">
        <v>112</v>
      </c>
      <c r="C33" s="463">
        <v>101028</v>
      </c>
      <c r="D33" s="269">
        <v>10</v>
      </c>
      <c r="E33" s="148" t="s">
        <v>393</v>
      </c>
      <c r="F33" s="149"/>
      <c r="G33" s="78"/>
      <c r="H33" s="675"/>
      <c r="I33" s="78">
        <v>16915</v>
      </c>
      <c r="J33" s="675">
        <v>19048</v>
      </c>
      <c r="K33" s="78">
        <v>7416</v>
      </c>
      <c r="L33" s="675">
        <v>8551</v>
      </c>
      <c r="M33" s="78">
        <v>18628</v>
      </c>
      <c r="N33" s="675">
        <v>18470</v>
      </c>
      <c r="O33" s="256">
        <f t="shared" si="0"/>
        <v>42959</v>
      </c>
      <c r="P33" s="89">
        <f t="shared" si="1"/>
        <v>1431.9666666666667</v>
      </c>
      <c r="Q33" s="257">
        <f t="shared" si="2"/>
        <v>46069</v>
      </c>
      <c r="R33" s="79">
        <f t="shared" si="3"/>
        <v>1535.6333333333334</v>
      </c>
      <c r="S33" s="464"/>
      <c r="T33" s="675"/>
      <c r="U33" s="256">
        <f t="shared" si="4"/>
        <v>0</v>
      </c>
      <c r="V33" s="434">
        <f t="shared" si="5"/>
        <v>0</v>
      </c>
      <c r="W33" s="78"/>
      <c r="X33" s="675"/>
      <c r="Y33" s="78"/>
      <c r="Z33" s="675"/>
      <c r="AA33" s="78"/>
      <c r="AB33" s="675"/>
      <c r="AC33" s="78"/>
      <c r="AD33" s="675"/>
      <c r="AE33" s="256">
        <f t="shared" si="6"/>
        <v>0</v>
      </c>
      <c r="AF33" s="89">
        <f t="shared" si="7"/>
        <v>0</v>
      </c>
      <c r="AG33" s="257">
        <f t="shared" si="8"/>
        <v>0</v>
      </c>
      <c r="AH33" s="79">
        <f t="shared" si="9"/>
        <v>0</v>
      </c>
      <c r="AI33" s="78"/>
      <c r="AJ33" s="675"/>
      <c r="AK33" s="256">
        <f t="shared" si="10"/>
        <v>0</v>
      </c>
      <c r="AL33" s="434">
        <f t="shared" si="11"/>
        <v>0</v>
      </c>
      <c r="AM33" s="78"/>
      <c r="AN33" s="675"/>
      <c r="AO33" s="78"/>
      <c r="AP33" s="675"/>
      <c r="AQ33" s="78"/>
      <c r="AR33" s="675"/>
      <c r="AS33" s="78"/>
      <c r="AT33" s="675"/>
      <c r="AU33" s="258">
        <f t="shared" si="12"/>
        <v>0</v>
      </c>
      <c r="AV33" s="89">
        <f t="shared" si="13"/>
        <v>0</v>
      </c>
      <c r="AW33" s="257">
        <f t="shared" si="14"/>
        <v>0</v>
      </c>
      <c r="AX33" s="79">
        <f t="shared" si="15"/>
        <v>0</v>
      </c>
      <c r="AY33" s="259">
        <f t="shared" si="16"/>
        <v>1431.9666666666667</v>
      </c>
      <c r="AZ33" s="79">
        <f t="shared" si="17"/>
        <v>1535.6333333333334</v>
      </c>
      <c r="BA33" s="677"/>
    </row>
    <row r="34" spans="1:53" s="93" customFormat="1">
      <c r="A34" s="463" t="s">
        <v>84</v>
      </c>
      <c r="B34" s="275" t="s">
        <v>113</v>
      </c>
      <c r="C34" s="463">
        <v>101143</v>
      </c>
      <c r="D34" s="269">
        <v>10</v>
      </c>
      <c r="E34" s="148" t="s">
        <v>393</v>
      </c>
      <c r="F34" s="149"/>
      <c r="G34" s="78"/>
      <c r="H34" s="675"/>
      <c r="I34" s="78">
        <v>22691</v>
      </c>
      <c r="J34" s="675">
        <v>25837</v>
      </c>
      <c r="K34" s="78">
        <v>11692</v>
      </c>
      <c r="L34" s="675">
        <v>14720</v>
      </c>
      <c r="M34" s="78">
        <v>25571</v>
      </c>
      <c r="N34" s="675">
        <v>32209</v>
      </c>
      <c r="O34" s="256">
        <f t="shared" si="0"/>
        <v>59954</v>
      </c>
      <c r="P34" s="89">
        <f t="shared" si="1"/>
        <v>1998.4666666666667</v>
      </c>
      <c r="Q34" s="257">
        <f t="shared" si="2"/>
        <v>72766</v>
      </c>
      <c r="R34" s="79">
        <f t="shared" si="3"/>
        <v>2425.5333333333333</v>
      </c>
      <c r="S34" s="464"/>
      <c r="T34" s="675"/>
      <c r="U34" s="256">
        <f t="shared" si="4"/>
        <v>0</v>
      </c>
      <c r="V34" s="434">
        <f t="shared" si="5"/>
        <v>0</v>
      </c>
      <c r="W34" s="78"/>
      <c r="X34" s="675"/>
      <c r="Y34" s="78"/>
      <c r="Z34" s="675"/>
      <c r="AA34" s="78"/>
      <c r="AB34" s="675"/>
      <c r="AC34" s="78"/>
      <c r="AD34" s="675"/>
      <c r="AE34" s="256">
        <f t="shared" si="6"/>
        <v>0</v>
      </c>
      <c r="AF34" s="89">
        <f t="shared" si="7"/>
        <v>0</v>
      </c>
      <c r="AG34" s="257">
        <f t="shared" si="8"/>
        <v>0</v>
      </c>
      <c r="AH34" s="79">
        <f t="shared" si="9"/>
        <v>0</v>
      </c>
      <c r="AI34" s="78"/>
      <c r="AJ34" s="675"/>
      <c r="AK34" s="256">
        <f t="shared" si="10"/>
        <v>0</v>
      </c>
      <c r="AL34" s="434">
        <f t="shared" si="11"/>
        <v>0</v>
      </c>
      <c r="AM34" s="78"/>
      <c r="AN34" s="675"/>
      <c r="AO34" s="78"/>
      <c r="AP34" s="675"/>
      <c r="AQ34" s="78"/>
      <c r="AR34" s="675"/>
      <c r="AS34" s="78"/>
      <c r="AT34" s="675"/>
      <c r="AU34" s="258">
        <f t="shared" si="12"/>
        <v>0</v>
      </c>
      <c r="AV34" s="89">
        <f t="shared" si="13"/>
        <v>0</v>
      </c>
      <c r="AW34" s="257">
        <f t="shared" si="14"/>
        <v>0</v>
      </c>
      <c r="AX34" s="79">
        <f t="shared" si="15"/>
        <v>0</v>
      </c>
      <c r="AY34" s="259">
        <f t="shared" si="16"/>
        <v>1998.4666666666667</v>
      </c>
      <c r="AZ34" s="79">
        <f t="shared" si="17"/>
        <v>2425.5333333333333</v>
      </c>
      <c r="BA34" s="677"/>
    </row>
    <row r="35" spans="1:53" s="93" customFormat="1">
      <c r="A35" s="463" t="s">
        <v>84</v>
      </c>
      <c r="B35" s="275" t="s">
        <v>114</v>
      </c>
      <c r="C35" s="463">
        <v>101301</v>
      </c>
      <c r="D35" s="269">
        <v>10</v>
      </c>
      <c r="E35" s="148" t="s">
        <v>393</v>
      </c>
      <c r="F35" s="149"/>
      <c r="G35" s="78"/>
      <c r="H35" s="675"/>
      <c r="I35" s="78">
        <v>19041</v>
      </c>
      <c r="J35" s="675">
        <v>18982</v>
      </c>
      <c r="K35" s="78">
        <v>13452</v>
      </c>
      <c r="L35" s="675">
        <v>11621</v>
      </c>
      <c r="M35" s="78">
        <v>20020</v>
      </c>
      <c r="N35" s="675">
        <v>21374</v>
      </c>
      <c r="O35" s="256">
        <f t="shared" si="0"/>
        <v>52513</v>
      </c>
      <c r="P35" s="89">
        <f t="shared" si="1"/>
        <v>1750.4333333333334</v>
      </c>
      <c r="Q35" s="257">
        <f t="shared" si="2"/>
        <v>51977</v>
      </c>
      <c r="R35" s="79">
        <f t="shared" si="3"/>
        <v>1732.5666666666666</v>
      </c>
      <c r="S35" s="464"/>
      <c r="T35" s="675"/>
      <c r="U35" s="256">
        <f t="shared" si="4"/>
        <v>0</v>
      </c>
      <c r="V35" s="434">
        <f t="shared" si="5"/>
        <v>0</v>
      </c>
      <c r="W35" s="78"/>
      <c r="X35" s="675"/>
      <c r="Y35" s="78"/>
      <c r="Z35" s="675"/>
      <c r="AA35" s="78"/>
      <c r="AB35" s="675"/>
      <c r="AC35" s="78"/>
      <c r="AD35" s="675"/>
      <c r="AE35" s="256">
        <f t="shared" si="6"/>
        <v>0</v>
      </c>
      <c r="AF35" s="89">
        <f t="shared" si="7"/>
        <v>0</v>
      </c>
      <c r="AG35" s="257">
        <f t="shared" si="8"/>
        <v>0</v>
      </c>
      <c r="AH35" s="79">
        <f t="shared" si="9"/>
        <v>0</v>
      </c>
      <c r="AI35" s="78"/>
      <c r="AJ35" s="675"/>
      <c r="AK35" s="256">
        <f t="shared" si="10"/>
        <v>0</v>
      </c>
      <c r="AL35" s="434">
        <f t="shared" si="11"/>
        <v>0</v>
      </c>
      <c r="AM35" s="78"/>
      <c r="AN35" s="675"/>
      <c r="AO35" s="78"/>
      <c r="AP35" s="675"/>
      <c r="AQ35" s="78"/>
      <c r="AR35" s="675"/>
      <c r="AS35" s="78"/>
      <c r="AT35" s="675"/>
      <c r="AU35" s="258">
        <f t="shared" si="12"/>
        <v>0</v>
      </c>
      <c r="AV35" s="89">
        <f t="shared" si="13"/>
        <v>0</v>
      </c>
      <c r="AW35" s="257">
        <f t="shared" si="14"/>
        <v>0</v>
      </c>
      <c r="AX35" s="79">
        <f t="shared" si="15"/>
        <v>0</v>
      </c>
      <c r="AY35" s="259">
        <f t="shared" si="16"/>
        <v>1750.4333333333334</v>
      </c>
      <c r="AZ35" s="79">
        <f t="shared" si="17"/>
        <v>1732.5666666666666</v>
      </c>
      <c r="BA35" s="677"/>
    </row>
    <row r="36" spans="1:53" s="93" customFormat="1">
      <c r="A36" s="463" t="s">
        <v>84</v>
      </c>
      <c r="B36" s="275" t="s">
        <v>115</v>
      </c>
      <c r="C36" s="463">
        <v>101499</v>
      </c>
      <c r="D36" s="269">
        <v>10</v>
      </c>
      <c r="E36" s="148" t="s">
        <v>393</v>
      </c>
      <c r="F36" s="149"/>
      <c r="G36" s="78"/>
      <c r="H36" s="675"/>
      <c r="I36" s="78">
        <v>12452</v>
      </c>
      <c r="J36" s="675">
        <v>12674</v>
      </c>
      <c r="K36" s="78">
        <v>6323</v>
      </c>
      <c r="L36" s="675">
        <v>6068</v>
      </c>
      <c r="M36" s="78">
        <v>12551</v>
      </c>
      <c r="N36" s="675">
        <v>14497</v>
      </c>
      <c r="O36" s="256">
        <f t="shared" si="0"/>
        <v>31326</v>
      </c>
      <c r="P36" s="89">
        <f t="shared" si="1"/>
        <v>1044.2</v>
      </c>
      <c r="Q36" s="257">
        <f t="shared" si="2"/>
        <v>33239</v>
      </c>
      <c r="R36" s="79">
        <f t="shared" si="3"/>
        <v>1107.9666666666667</v>
      </c>
      <c r="S36" s="464"/>
      <c r="T36" s="675"/>
      <c r="U36" s="256">
        <f t="shared" si="4"/>
        <v>0</v>
      </c>
      <c r="V36" s="434">
        <f t="shared" si="5"/>
        <v>0</v>
      </c>
      <c r="W36" s="78"/>
      <c r="X36" s="675"/>
      <c r="Y36" s="78"/>
      <c r="Z36" s="675"/>
      <c r="AA36" s="78"/>
      <c r="AB36" s="675"/>
      <c r="AC36" s="78"/>
      <c r="AD36" s="675"/>
      <c r="AE36" s="256">
        <f t="shared" si="6"/>
        <v>0</v>
      </c>
      <c r="AF36" s="89">
        <f t="shared" si="7"/>
        <v>0</v>
      </c>
      <c r="AG36" s="257">
        <f t="shared" si="8"/>
        <v>0</v>
      </c>
      <c r="AH36" s="79">
        <f t="shared" si="9"/>
        <v>0</v>
      </c>
      <c r="AI36" s="78"/>
      <c r="AJ36" s="675"/>
      <c r="AK36" s="256">
        <f t="shared" si="10"/>
        <v>0</v>
      </c>
      <c r="AL36" s="434">
        <f t="shared" si="11"/>
        <v>0</v>
      </c>
      <c r="AM36" s="78"/>
      <c r="AN36" s="675"/>
      <c r="AO36" s="78"/>
      <c r="AP36" s="675"/>
      <c r="AQ36" s="78"/>
      <c r="AR36" s="675"/>
      <c r="AS36" s="78"/>
      <c r="AT36" s="675"/>
      <c r="AU36" s="258">
        <f t="shared" si="12"/>
        <v>0</v>
      </c>
      <c r="AV36" s="89">
        <f t="shared" si="13"/>
        <v>0</v>
      </c>
      <c r="AW36" s="257">
        <f t="shared" si="14"/>
        <v>0</v>
      </c>
      <c r="AX36" s="79">
        <f t="shared" si="15"/>
        <v>0</v>
      </c>
      <c r="AY36" s="259">
        <f t="shared" si="16"/>
        <v>1044.2</v>
      </c>
      <c r="AZ36" s="79">
        <f t="shared" si="17"/>
        <v>1107.9666666666667</v>
      </c>
      <c r="BA36" s="677"/>
    </row>
    <row r="37" spans="1:53" s="93" customFormat="1">
      <c r="A37" s="463" t="s">
        <v>84</v>
      </c>
      <c r="B37" s="275" t="s">
        <v>116</v>
      </c>
      <c r="C37" s="463">
        <v>101602</v>
      </c>
      <c r="D37" s="269">
        <v>10</v>
      </c>
      <c r="E37" s="148" t="s">
        <v>393</v>
      </c>
      <c r="F37" s="149"/>
      <c r="G37" s="78"/>
      <c r="H37" s="675"/>
      <c r="I37" s="78">
        <v>16301</v>
      </c>
      <c r="J37" s="675">
        <v>16921</v>
      </c>
      <c r="K37" s="78">
        <v>8088</v>
      </c>
      <c r="L37" s="675">
        <v>9369</v>
      </c>
      <c r="M37" s="78">
        <v>17684</v>
      </c>
      <c r="N37" s="675">
        <v>19259</v>
      </c>
      <c r="O37" s="256">
        <f t="shared" ref="O37:O68" si="18">SUM(G37,I37,K37,M37)</f>
        <v>42073</v>
      </c>
      <c r="P37" s="89">
        <f t="shared" ref="P37:P68" si="19">+O37/30</f>
        <v>1402.4333333333334</v>
      </c>
      <c r="Q37" s="257">
        <f t="shared" ref="Q37:Q68" si="20">SUM(H37,J37,L37,N37)</f>
        <v>45549</v>
      </c>
      <c r="R37" s="79">
        <f t="shared" si="3"/>
        <v>1518.3</v>
      </c>
      <c r="S37" s="464"/>
      <c r="T37" s="675"/>
      <c r="U37" s="256">
        <f t="shared" ref="U37:U68" si="21">IF(OR(ISBLANK(S37),(S37="—")),0,O37)</f>
        <v>0</v>
      </c>
      <c r="V37" s="434">
        <f t="shared" ref="V37:V68" si="22">IF(OR(ISBLANK(T37),(T37="—")),0,Q37)</f>
        <v>0</v>
      </c>
      <c r="W37" s="78"/>
      <c r="X37" s="675"/>
      <c r="Y37" s="78"/>
      <c r="Z37" s="675"/>
      <c r="AA37" s="78"/>
      <c r="AB37" s="675"/>
      <c r="AC37" s="78"/>
      <c r="AD37" s="675"/>
      <c r="AE37" s="256">
        <f t="shared" ref="AE37:AE68" si="23">SUM(W37,Y37,AA37,AC37)</f>
        <v>0</v>
      </c>
      <c r="AF37" s="89">
        <f t="shared" si="7"/>
        <v>0</v>
      </c>
      <c r="AG37" s="257">
        <f t="shared" ref="AG37:AG68" si="24">SUM(X37,Z37,AB37,AD37)</f>
        <v>0</v>
      </c>
      <c r="AH37" s="79">
        <f t="shared" si="9"/>
        <v>0</v>
      </c>
      <c r="AI37" s="78"/>
      <c r="AJ37" s="675"/>
      <c r="AK37" s="256">
        <f t="shared" ref="AK37:AK68" si="25">IF(OR(ISBLANK(AI37),(AI37="—")),0,AE37)</f>
        <v>0</v>
      </c>
      <c r="AL37" s="434">
        <f t="shared" ref="AL37:AL68" si="26">IF(OR(ISBLANK(AJ37),(AJ37="—")),0,AG37)</f>
        <v>0</v>
      </c>
      <c r="AM37" s="78"/>
      <c r="AN37" s="675"/>
      <c r="AO37" s="78"/>
      <c r="AP37" s="675"/>
      <c r="AQ37" s="78"/>
      <c r="AR37" s="675"/>
      <c r="AS37" s="78"/>
      <c r="AT37" s="675"/>
      <c r="AU37" s="258">
        <f t="shared" si="12"/>
        <v>0</v>
      </c>
      <c r="AV37" s="89">
        <f t="shared" si="13"/>
        <v>0</v>
      </c>
      <c r="AW37" s="257">
        <f t="shared" si="14"/>
        <v>0</v>
      </c>
      <c r="AX37" s="79">
        <f t="shared" si="15"/>
        <v>0</v>
      </c>
      <c r="AY37" s="259">
        <f t="shared" ref="AY37:AY68" si="27">SUM(P37,AF37,AV37)</f>
        <v>1402.4333333333334</v>
      </c>
      <c r="AZ37" s="79">
        <f t="shared" ref="AZ37:AZ68" si="28">SUM(R37,AH37,AX37)</f>
        <v>1518.3</v>
      </c>
      <c r="BA37" s="677"/>
    </row>
    <row r="38" spans="1:53" s="93" customFormat="1">
      <c r="A38" s="463" t="s">
        <v>84</v>
      </c>
      <c r="B38" s="91" t="s">
        <v>117</v>
      </c>
      <c r="C38" s="463">
        <v>101897</v>
      </c>
      <c r="D38" s="269">
        <v>10</v>
      </c>
      <c r="E38" s="148" t="s">
        <v>393</v>
      </c>
      <c r="F38" s="149"/>
      <c r="G38" s="78"/>
      <c r="H38" s="675"/>
      <c r="I38" s="78">
        <v>23798</v>
      </c>
      <c r="J38" s="675">
        <v>27989</v>
      </c>
      <c r="K38" s="78">
        <v>10566</v>
      </c>
      <c r="L38" s="675">
        <v>13708</v>
      </c>
      <c r="M38" s="78">
        <v>28468</v>
      </c>
      <c r="N38" s="675">
        <v>35348</v>
      </c>
      <c r="O38" s="256">
        <f t="shared" si="18"/>
        <v>62832</v>
      </c>
      <c r="P38" s="89">
        <f t="shared" si="19"/>
        <v>2094.4</v>
      </c>
      <c r="Q38" s="257">
        <f t="shared" si="20"/>
        <v>77045</v>
      </c>
      <c r="R38" s="79">
        <f t="shared" si="3"/>
        <v>2568.1666666666665</v>
      </c>
      <c r="S38" s="464"/>
      <c r="T38" s="675"/>
      <c r="U38" s="256">
        <f t="shared" si="21"/>
        <v>0</v>
      </c>
      <c r="V38" s="434">
        <f t="shared" si="22"/>
        <v>0</v>
      </c>
      <c r="W38" s="78"/>
      <c r="X38" s="675"/>
      <c r="Y38" s="78"/>
      <c r="Z38" s="675"/>
      <c r="AA38" s="78"/>
      <c r="AB38" s="675"/>
      <c r="AC38" s="78"/>
      <c r="AD38" s="675"/>
      <c r="AE38" s="256">
        <f t="shared" si="23"/>
        <v>0</v>
      </c>
      <c r="AF38" s="89">
        <f t="shared" si="7"/>
        <v>0</v>
      </c>
      <c r="AG38" s="257">
        <f t="shared" si="24"/>
        <v>0</v>
      </c>
      <c r="AH38" s="79">
        <f t="shared" si="9"/>
        <v>0</v>
      </c>
      <c r="AI38" s="78"/>
      <c r="AJ38" s="675"/>
      <c r="AK38" s="256">
        <f t="shared" si="25"/>
        <v>0</v>
      </c>
      <c r="AL38" s="434">
        <f t="shared" si="26"/>
        <v>0</v>
      </c>
      <c r="AM38" s="78"/>
      <c r="AN38" s="675"/>
      <c r="AO38" s="78"/>
      <c r="AP38" s="675"/>
      <c r="AQ38" s="78"/>
      <c r="AR38" s="675"/>
      <c r="AS38" s="78"/>
      <c r="AT38" s="675"/>
      <c r="AU38" s="258">
        <f t="shared" si="12"/>
        <v>0</v>
      </c>
      <c r="AV38" s="89">
        <f t="shared" si="13"/>
        <v>0</v>
      </c>
      <c r="AW38" s="257">
        <f t="shared" si="14"/>
        <v>0</v>
      </c>
      <c r="AX38" s="79">
        <f t="shared" si="15"/>
        <v>0</v>
      </c>
      <c r="AY38" s="259">
        <f t="shared" si="27"/>
        <v>2094.4</v>
      </c>
      <c r="AZ38" s="79">
        <f t="shared" si="28"/>
        <v>2568.1666666666665</v>
      </c>
      <c r="BA38" s="677"/>
    </row>
    <row r="39" spans="1:53" s="93" customFormat="1">
      <c r="A39" s="463" t="s">
        <v>84</v>
      </c>
      <c r="B39" s="275" t="s">
        <v>118</v>
      </c>
      <c r="C39" s="463">
        <v>102076</v>
      </c>
      <c r="D39" s="269">
        <v>10</v>
      </c>
      <c r="E39" s="148" t="s">
        <v>393</v>
      </c>
      <c r="F39" s="149"/>
      <c r="G39" s="78"/>
      <c r="H39" s="675"/>
      <c r="I39" s="78">
        <v>21524</v>
      </c>
      <c r="J39" s="675">
        <v>22791</v>
      </c>
      <c r="K39" s="78">
        <v>8752</v>
      </c>
      <c r="L39" s="675">
        <v>8777</v>
      </c>
      <c r="M39" s="78">
        <v>23414</v>
      </c>
      <c r="N39" s="675">
        <v>26541</v>
      </c>
      <c r="O39" s="256">
        <f t="shared" si="18"/>
        <v>53690</v>
      </c>
      <c r="P39" s="89">
        <f t="shared" si="19"/>
        <v>1789.6666666666667</v>
      </c>
      <c r="Q39" s="257">
        <f t="shared" si="20"/>
        <v>58109</v>
      </c>
      <c r="R39" s="79">
        <f t="shared" si="3"/>
        <v>1936.9666666666667</v>
      </c>
      <c r="S39" s="464"/>
      <c r="T39" s="675"/>
      <c r="U39" s="256">
        <f t="shared" si="21"/>
        <v>0</v>
      </c>
      <c r="V39" s="434">
        <f t="shared" si="22"/>
        <v>0</v>
      </c>
      <c r="W39" s="78"/>
      <c r="X39" s="675"/>
      <c r="Y39" s="78"/>
      <c r="Z39" s="675"/>
      <c r="AA39" s="78"/>
      <c r="AB39" s="675"/>
      <c r="AC39" s="78"/>
      <c r="AD39" s="675"/>
      <c r="AE39" s="256">
        <f t="shared" si="23"/>
        <v>0</v>
      </c>
      <c r="AF39" s="89">
        <f t="shared" si="7"/>
        <v>0</v>
      </c>
      <c r="AG39" s="257">
        <f t="shared" si="24"/>
        <v>0</v>
      </c>
      <c r="AH39" s="79">
        <f t="shared" si="9"/>
        <v>0</v>
      </c>
      <c r="AI39" s="78"/>
      <c r="AJ39" s="675"/>
      <c r="AK39" s="256">
        <f t="shared" si="25"/>
        <v>0</v>
      </c>
      <c r="AL39" s="434">
        <f t="shared" si="26"/>
        <v>0</v>
      </c>
      <c r="AM39" s="78"/>
      <c r="AN39" s="675"/>
      <c r="AO39" s="78"/>
      <c r="AP39" s="675"/>
      <c r="AQ39" s="78"/>
      <c r="AR39" s="675"/>
      <c r="AS39" s="78"/>
      <c r="AT39" s="675"/>
      <c r="AU39" s="258">
        <f t="shared" si="12"/>
        <v>0</v>
      </c>
      <c r="AV39" s="89">
        <f t="shared" si="13"/>
        <v>0</v>
      </c>
      <c r="AW39" s="257">
        <f t="shared" si="14"/>
        <v>0</v>
      </c>
      <c r="AX39" s="79">
        <f t="shared" si="15"/>
        <v>0</v>
      </c>
      <c r="AY39" s="259">
        <f t="shared" si="27"/>
        <v>1789.6666666666667</v>
      </c>
      <c r="AZ39" s="79">
        <f t="shared" si="28"/>
        <v>1936.9666666666667</v>
      </c>
      <c r="BA39" s="677"/>
    </row>
    <row r="40" spans="1:53" s="93" customFormat="1">
      <c r="A40" s="463" t="s">
        <v>84</v>
      </c>
      <c r="B40" s="275" t="s">
        <v>119</v>
      </c>
      <c r="C40" s="463">
        <v>102313</v>
      </c>
      <c r="D40" s="269">
        <v>12</v>
      </c>
      <c r="E40" s="148" t="s">
        <v>393</v>
      </c>
      <c r="F40" s="149"/>
      <c r="G40" s="78"/>
      <c r="H40" s="675"/>
      <c r="I40" s="78">
        <v>13051</v>
      </c>
      <c r="J40" s="675">
        <v>14984</v>
      </c>
      <c r="K40" s="78">
        <v>9703</v>
      </c>
      <c r="L40" s="675">
        <v>11007</v>
      </c>
      <c r="M40" s="78">
        <v>14004</v>
      </c>
      <c r="N40" s="675">
        <v>18028</v>
      </c>
      <c r="O40" s="256">
        <f t="shared" si="18"/>
        <v>36758</v>
      </c>
      <c r="P40" s="89">
        <f t="shared" si="19"/>
        <v>1225.2666666666667</v>
      </c>
      <c r="Q40" s="257">
        <f t="shared" si="20"/>
        <v>44019</v>
      </c>
      <c r="R40" s="79">
        <f t="shared" si="3"/>
        <v>1467.3</v>
      </c>
      <c r="S40" s="464"/>
      <c r="T40" s="675"/>
      <c r="U40" s="256">
        <f t="shared" si="21"/>
        <v>0</v>
      </c>
      <c r="V40" s="434">
        <f t="shared" si="22"/>
        <v>0</v>
      </c>
      <c r="W40" s="78"/>
      <c r="X40" s="675"/>
      <c r="Y40" s="78"/>
      <c r="Z40" s="675"/>
      <c r="AA40" s="78"/>
      <c r="AB40" s="675"/>
      <c r="AC40" s="78"/>
      <c r="AD40" s="675"/>
      <c r="AE40" s="256">
        <f t="shared" si="23"/>
        <v>0</v>
      </c>
      <c r="AF40" s="89">
        <f t="shared" si="7"/>
        <v>0</v>
      </c>
      <c r="AG40" s="257">
        <f t="shared" si="24"/>
        <v>0</v>
      </c>
      <c r="AH40" s="79">
        <f t="shared" si="9"/>
        <v>0</v>
      </c>
      <c r="AI40" s="78"/>
      <c r="AJ40" s="675"/>
      <c r="AK40" s="256">
        <f t="shared" si="25"/>
        <v>0</v>
      </c>
      <c r="AL40" s="434">
        <f t="shared" si="26"/>
        <v>0</v>
      </c>
      <c r="AM40" s="78"/>
      <c r="AN40" s="675"/>
      <c r="AO40" s="78"/>
      <c r="AP40" s="675"/>
      <c r="AQ40" s="78"/>
      <c r="AR40" s="675"/>
      <c r="AS40" s="78"/>
      <c r="AT40" s="675"/>
      <c r="AU40" s="258">
        <f t="shared" si="12"/>
        <v>0</v>
      </c>
      <c r="AV40" s="89">
        <f t="shared" si="13"/>
        <v>0</v>
      </c>
      <c r="AW40" s="257">
        <f t="shared" si="14"/>
        <v>0</v>
      </c>
      <c r="AX40" s="79">
        <f t="shared" si="15"/>
        <v>0</v>
      </c>
      <c r="AY40" s="259">
        <f t="shared" si="27"/>
        <v>1225.2666666666667</v>
      </c>
      <c r="AZ40" s="79">
        <f t="shared" si="28"/>
        <v>1467.3</v>
      </c>
      <c r="BA40" s="677"/>
    </row>
    <row r="41" spans="1:53" s="93" customFormat="1">
      <c r="A41" s="463" t="s">
        <v>84</v>
      </c>
      <c r="B41" s="275" t="s">
        <v>120</v>
      </c>
      <c r="C41" s="463">
        <v>101462</v>
      </c>
      <c r="D41" s="269">
        <v>13</v>
      </c>
      <c r="E41" s="148" t="s">
        <v>393</v>
      </c>
      <c r="F41" s="149"/>
      <c r="G41" s="78"/>
      <c r="H41" s="675"/>
      <c r="I41" s="78">
        <v>6902</v>
      </c>
      <c r="J41" s="675">
        <v>9859</v>
      </c>
      <c r="K41" s="78">
        <v>3944</v>
      </c>
      <c r="L41" s="675">
        <v>5787</v>
      </c>
      <c r="M41" s="78">
        <v>8662</v>
      </c>
      <c r="N41" s="675">
        <v>13301</v>
      </c>
      <c r="O41" s="256">
        <f t="shared" si="18"/>
        <v>19508</v>
      </c>
      <c r="P41" s="89">
        <f t="shared" si="19"/>
        <v>650.26666666666665</v>
      </c>
      <c r="Q41" s="257">
        <f t="shared" si="20"/>
        <v>28947</v>
      </c>
      <c r="R41" s="79">
        <f t="shared" si="3"/>
        <v>964.9</v>
      </c>
      <c r="S41" s="464"/>
      <c r="T41" s="675"/>
      <c r="U41" s="256">
        <f t="shared" si="21"/>
        <v>0</v>
      </c>
      <c r="V41" s="434">
        <f t="shared" si="22"/>
        <v>0</v>
      </c>
      <c r="W41" s="78"/>
      <c r="X41" s="675"/>
      <c r="Y41" s="78"/>
      <c r="Z41" s="675"/>
      <c r="AA41" s="78"/>
      <c r="AB41" s="675"/>
      <c r="AC41" s="78"/>
      <c r="AD41" s="675"/>
      <c r="AE41" s="256">
        <f t="shared" si="23"/>
        <v>0</v>
      </c>
      <c r="AF41" s="89">
        <f t="shared" si="7"/>
        <v>0</v>
      </c>
      <c r="AG41" s="257">
        <f t="shared" si="24"/>
        <v>0</v>
      </c>
      <c r="AH41" s="79">
        <f t="shared" si="9"/>
        <v>0</v>
      </c>
      <c r="AI41" s="78"/>
      <c r="AJ41" s="675"/>
      <c r="AK41" s="256">
        <f t="shared" si="25"/>
        <v>0</v>
      </c>
      <c r="AL41" s="434">
        <f t="shared" si="26"/>
        <v>0</v>
      </c>
      <c r="AM41" s="78"/>
      <c r="AN41" s="675"/>
      <c r="AO41" s="78"/>
      <c r="AP41" s="675"/>
      <c r="AQ41" s="78"/>
      <c r="AR41" s="675"/>
      <c r="AS41" s="78"/>
      <c r="AT41" s="675"/>
      <c r="AU41" s="258">
        <f t="shared" si="12"/>
        <v>0</v>
      </c>
      <c r="AV41" s="89">
        <f t="shared" si="13"/>
        <v>0</v>
      </c>
      <c r="AW41" s="257">
        <f t="shared" si="14"/>
        <v>0</v>
      </c>
      <c r="AX41" s="79">
        <f t="shared" si="15"/>
        <v>0</v>
      </c>
      <c r="AY41" s="259">
        <f t="shared" si="27"/>
        <v>650.26666666666665</v>
      </c>
      <c r="AZ41" s="79">
        <f t="shared" si="28"/>
        <v>964.9</v>
      </c>
      <c r="BA41" s="677"/>
    </row>
    <row r="42" spans="1:53" s="93" customFormat="1">
      <c r="A42" s="463" t="s">
        <v>84</v>
      </c>
      <c r="B42" s="275" t="s">
        <v>121</v>
      </c>
      <c r="C42" s="463">
        <v>101471</v>
      </c>
      <c r="D42" s="269">
        <v>13</v>
      </c>
      <c r="E42" s="148" t="s">
        <v>393</v>
      </c>
      <c r="F42" s="149"/>
      <c r="G42" s="78"/>
      <c r="H42" s="675"/>
      <c r="I42" s="78">
        <v>6994</v>
      </c>
      <c r="J42" s="675">
        <v>8605</v>
      </c>
      <c r="K42" s="78">
        <v>6866</v>
      </c>
      <c r="L42" s="675">
        <v>7103</v>
      </c>
      <c r="M42" s="78">
        <v>7565</v>
      </c>
      <c r="N42" s="675">
        <v>7532</v>
      </c>
      <c r="O42" s="256">
        <f t="shared" si="18"/>
        <v>21425</v>
      </c>
      <c r="P42" s="89">
        <f t="shared" si="19"/>
        <v>714.16666666666663</v>
      </c>
      <c r="Q42" s="257">
        <f t="shared" si="20"/>
        <v>23240</v>
      </c>
      <c r="R42" s="79">
        <f t="shared" si="3"/>
        <v>774.66666666666663</v>
      </c>
      <c r="S42" s="464"/>
      <c r="T42" s="675"/>
      <c r="U42" s="256">
        <f t="shared" si="21"/>
        <v>0</v>
      </c>
      <c r="V42" s="434">
        <f t="shared" si="22"/>
        <v>0</v>
      </c>
      <c r="W42" s="78"/>
      <c r="X42" s="675"/>
      <c r="Y42" s="78"/>
      <c r="Z42" s="675"/>
      <c r="AA42" s="78"/>
      <c r="AB42" s="675"/>
      <c r="AC42" s="78"/>
      <c r="AD42" s="675"/>
      <c r="AE42" s="256">
        <f t="shared" si="23"/>
        <v>0</v>
      </c>
      <c r="AF42" s="89">
        <f t="shared" si="7"/>
        <v>0</v>
      </c>
      <c r="AG42" s="257">
        <f t="shared" si="24"/>
        <v>0</v>
      </c>
      <c r="AH42" s="79">
        <f t="shared" si="9"/>
        <v>0</v>
      </c>
      <c r="AI42" s="78"/>
      <c r="AJ42" s="675"/>
      <c r="AK42" s="256">
        <f t="shared" si="25"/>
        <v>0</v>
      </c>
      <c r="AL42" s="434">
        <f t="shared" si="26"/>
        <v>0</v>
      </c>
      <c r="AM42" s="78"/>
      <c r="AN42" s="675"/>
      <c r="AO42" s="78"/>
      <c r="AP42" s="675"/>
      <c r="AQ42" s="78"/>
      <c r="AR42" s="675"/>
      <c r="AS42" s="78"/>
      <c r="AT42" s="675"/>
      <c r="AU42" s="258">
        <f t="shared" si="12"/>
        <v>0</v>
      </c>
      <c r="AV42" s="89">
        <f t="shared" si="13"/>
        <v>0</v>
      </c>
      <c r="AW42" s="257">
        <f t="shared" si="14"/>
        <v>0</v>
      </c>
      <c r="AX42" s="79">
        <f t="shared" si="15"/>
        <v>0</v>
      </c>
      <c r="AY42" s="259">
        <f t="shared" si="27"/>
        <v>714.16666666666663</v>
      </c>
      <c r="AZ42" s="79">
        <f t="shared" si="28"/>
        <v>774.66666666666663</v>
      </c>
      <c r="BA42" s="677"/>
    </row>
    <row r="43" spans="1:53" s="93" customFormat="1">
      <c r="A43" s="463" t="s">
        <v>84</v>
      </c>
      <c r="B43" s="275" t="s">
        <v>122</v>
      </c>
      <c r="C43" s="463">
        <v>101994</v>
      </c>
      <c r="D43" s="269">
        <v>13</v>
      </c>
      <c r="E43" s="148" t="s">
        <v>393</v>
      </c>
      <c r="F43" s="149"/>
      <c r="G43" s="78"/>
      <c r="H43" s="675"/>
      <c r="I43" s="78">
        <v>5274</v>
      </c>
      <c r="J43" s="675">
        <v>6492</v>
      </c>
      <c r="K43" s="78">
        <v>3811</v>
      </c>
      <c r="L43" s="675">
        <v>5056</v>
      </c>
      <c r="M43" s="78">
        <v>6547</v>
      </c>
      <c r="N43" s="675">
        <v>8737</v>
      </c>
      <c r="O43" s="256">
        <f t="shared" si="18"/>
        <v>15632</v>
      </c>
      <c r="P43" s="89">
        <f t="shared" si="19"/>
        <v>521.06666666666672</v>
      </c>
      <c r="Q43" s="257">
        <f t="shared" si="20"/>
        <v>20285</v>
      </c>
      <c r="R43" s="79">
        <f t="shared" si="3"/>
        <v>676.16666666666663</v>
      </c>
      <c r="S43" s="464"/>
      <c r="T43" s="675"/>
      <c r="U43" s="256">
        <f t="shared" si="21"/>
        <v>0</v>
      </c>
      <c r="V43" s="434">
        <f t="shared" si="22"/>
        <v>0</v>
      </c>
      <c r="W43" s="78"/>
      <c r="X43" s="675"/>
      <c r="Y43" s="78"/>
      <c r="Z43" s="675"/>
      <c r="AA43" s="78"/>
      <c r="AB43" s="675"/>
      <c r="AC43" s="78"/>
      <c r="AD43" s="675"/>
      <c r="AE43" s="256">
        <f t="shared" si="23"/>
        <v>0</v>
      </c>
      <c r="AF43" s="89">
        <f t="shared" si="7"/>
        <v>0</v>
      </c>
      <c r="AG43" s="257">
        <f t="shared" si="24"/>
        <v>0</v>
      </c>
      <c r="AH43" s="79">
        <f t="shared" si="9"/>
        <v>0</v>
      </c>
      <c r="AI43" s="78"/>
      <c r="AJ43" s="675"/>
      <c r="AK43" s="256">
        <f t="shared" si="25"/>
        <v>0</v>
      </c>
      <c r="AL43" s="434">
        <f t="shared" si="26"/>
        <v>0</v>
      </c>
      <c r="AM43" s="78"/>
      <c r="AN43" s="675"/>
      <c r="AO43" s="78"/>
      <c r="AP43" s="675"/>
      <c r="AQ43" s="78"/>
      <c r="AR43" s="675"/>
      <c r="AS43" s="78"/>
      <c r="AT43" s="675"/>
      <c r="AU43" s="258">
        <f t="shared" si="12"/>
        <v>0</v>
      </c>
      <c r="AV43" s="89">
        <f t="shared" si="13"/>
        <v>0</v>
      </c>
      <c r="AW43" s="257">
        <f t="shared" si="14"/>
        <v>0</v>
      </c>
      <c r="AX43" s="79">
        <f t="shared" si="15"/>
        <v>0</v>
      </c>
      <c r="AY43" s="259">
        <f t="shared" si="27"/>
        <v>521.06666666666672</v>
      </c>
      <c r="AZ43" s="79">
        <f t="shared" si="28"/>
        <v>676.16666666666663</v>
      </c>
      <c r="BA43" s="677"/>
    </row>
    <row r="44" spans="1:53">
      <c r="A44" s="276" t="s">
        <v>727</v>
      </c>
      <c r="B44" s="466" t="s">
        <v>728</v>
      </c>
      <c r="C44" s="276">
        <v>106397</v>
      </c>
      <c r="D44" s="155">
        <v>1</v>
      </c>
      <c r="E44" s="148" t="s">
        <v>393</v>
      </c>
      <c r="F44" s="149"/>
      <c r="G44" s="78"/>
      <c r="H44" s="675"/>
      <c r="I44" s="78">
        <v>185896</v>
      </c>
      <c r="J44" s="678">
        <v>191161</v>
      </c>
      <c r="K44" s="679">
        <v>34584</v>
      </c>
      <c r="L44" s="678">
        <v>35106</v>
      </c>
      <c r="M44" s="679">
        <v>207970</v>
      </c>
      <c r="N44" s="678">
        <v>214630</v>
      </c>
      <c r="O44" s="256">
        <f t="shared" si="18"/>
        <v>428450</v>
      </c>
      <c r="P44" s="89">
        <f t="shared" si="19"/>
        <v>14281.666666666666</v>
      </c>
      <c r="Q44" s="257">
        <f t="shared" si="20"/>
        <v>440897</v>
      </c>
      <c r="R44" s="79">
        <f t="shared" si="3"/>
        <v>14696.566666666668</v>
      </c>
      <c r="S44" s="78">
        <v>101</v>
      </c>
      <c r="T44" s="678">
        <v>99</v>
      </c>
      <c r="U44" s="256">
        <f t="shared" si="21"/>
        <v>428450</v>
      </c>
      <c r="V44" s="434">
        <f t="shared" si="22"/>
        <v>440897</v>
      </c>
      <c r="W44" s="78"/>
      <c r="X44" s="675"/>
      <c r="Y44" s="78"/>
      <c r="Z44" s="675"/>
      <c r="AA44" s="78"/>
      <c r="AB44" s="675"/>
      <c r="AC44" s="78"/>
      <c r="AD44" s="675"/>
      <c r="AE44" s="256">
        <f t="shared" si="23"/>
        <v>0</v>
      </c>
      <c r="AF44" s="89">
        <f t="shared" si="7"/>
        <v>0</v>
      </c>
      <c r="AG44" s="257">
        <f t="shared" si="24"/>
        <v>0</v>
      </c>
      <c r="AH44" s="79">
        <f t="shared" si="9"/>
        <v>0</v>
      </c>
      <c r="AI44" s="78"/>
      <c r="AJ44" s="675"/>
      <c r="AK44" s="256">
        <f t="shared" si="25"/>
        <v>0</v>
      </c>
      <c r="AL44" s="434">
        <f t="shared" si="26"/>
        <v>0</v>
      </c>
      <c r="AM44" s="78"/>
      <c r="AN44" s="675"/>
      <c r="AO44" s="78">
        <v>29066</v>
      </c>
      <c r="AP44" s="678">
        <v>29676</v>
      </c>
      <c r="AQ44" s="78">
        <v>10609</v>
      </c>
      <c r="AR44" s="678">
        <v>10505</v>
      </c>
      <c r="AS44" s="78">
        <v>30094</v>
      </c>
      <c r="AT44" s="678">
        <v>32051</v>
      </c>
      <c r="AU44" s="258">
        <f t="shared" si="12"/>
        <v>69769</v>
      </c>
      <c r="AV44" s="89">
        <f t="shared" si="13"/>
        <v>2907.0416666666665</v>
      </c>
      <c r="AW44" s="257">
        <f t="shared" si="14"/>
        <v>72232</v>
      </c>
      <c r="AX44" s="79">
        <f t="shared" si="15"/>
        <v>3009.6666666666665</v>
      </c>
      <c r="AY44" s="259">
        <f t="shared" si="27"/>
        <v>17188.708333333332</v>
      </c>
      <c r="AZ44" s="79">
        <f t="shared" si="28"/>
        <v>17706.233333333334</v>
      </c>
      <c r="BA44" s="680"/>
    </row>
    <row r="45" spans="1:53">
      <c r="A45" s="276" t="s">
        <v>727</v>
      </c>
      <c r="B45" s="466" t="s">
        <v>729</v>
      </c>
      <c r="C45" s="276">
        <v>106458</v>
      </c>
      <c r="D45" s="155">
        <v>3</v>
      </c>
      <c r="E45" s="148" t="s">
        <v>393</v>
      </c>
      <c r="F45" s="149"/>
      <c r="G45" s="78"/>
      <c r="H45" s="675"/>
      <c r="I45" s="78">
        <v>115710</v>
      </c>
      <c r="J45" s="678">
        <v>115650</v>
      </c>
      <c r="K45" s="679">
        <v>20573</v>
      </c>
      <c r="L45" s="678">
        <v>21136</v>
      </c>
      <c r="M45" s="679">
        <v>123547</v>
      </c>
      <c r="N45" s="678">
        <v>124908</v>
      </c>
      <c r="O45" s="256">
        <f t="shared" si="18"/>
        <v>259830</v>
      </c>
      <c r="P45" s="89">
        <f t="shared" si="19"/>
        <v>8661</v>
      </c>
      <c r="Q45" s="257">
        <f t="shared" si="20"/>
        <v>261694</v>
      </c>
      <c r="R45" s="79">
        <f t="shared" si="3"/>
        <v>8723.1333333333332</v>
      </c>
      <c r="S45" s="78">
        <v>3632</v>
      </c>
      <c r="T45" s="678">
        <v>3196</v>
      </c>
      <c r="U45" s="256">
        <f t="shared" si="21"/>
        <v>259830</v>
      </c>
      <c r="V45" s="434">
        <f t="shared" si="22"/>
        <v>261694</v>
      </c>
      <c r="W45" s="78"/>
      <c r="X45" s="675"/>
      <c r="Y45" s="78"/>
      <c r="Z45" s="675"/>
      <c r="AA45" s="78"/>
      <c r="AB45" s="675"/>
      <c r="AC45" s="78"/>
      <c r="AD45" s="675"/>
      <c r="AE45" s="256">
        <f t="shared" si="23"/>
        <v>0</v>
      </c>
      <c r="AF45" s="89">
        <f t="shared" si="7"/>
        <v>0</v>
      </c>
      <c r="AG45" s="257">
        <f t="shared" si="24"/>
        <v>0</v>
      </c>
      <c r="AH45" s="79">
        <f t="shared" si="9"/>
        <v>0</v>
      </c>
      <c r="AI45" s="78"/>
      <c r="AJ45" s="675"/>
      <c r="AK45" s="256">
        <f t="shared" si="25"/>
        <v>0</v>
      </c>
      <c r="AL45" s="434">
        <f t="shared" si="26"/>
        <v>0</v>
      </c>
      <c r="AM45" s="78"/>
      <c r="AN45" s="675"/>
      <c r="AO45" s="78">
        <v>10341</v>
      </c>
      <c r="AP45" s="678">
        <v>13390</v>
      </c>
      <c r="AQ45" s="78">
        <v>6721</v>
      </c>
      <c r="AR45" s="678">
        <v>9222</v>
      </c>
      <c r="AS45" s="78">
        <v>11566</v>
      </c>
      <c r="AT45" s="678">
        <v>19048</v>
      </c>
      <c r="AU45" s="258">
        <f t="shared" si="12"/>
        <v>28628</v>
      </c>
      <c r="AV45" s="89">
        <f t="shared" si="13"/>
        <v>1192.8333333333333</v>
      </c>
      <c r="AW45" s="257">
        <f t="shared" si="14"/>
        <v>41660</v>
      </c>
      <c r="AX45" s="79">
        <f t="shared" si="15"/>
        <v>1735.8333333333333</v>
      </c>
      <c r="AY45" s="259">
        <f t="shared" si="27"/>
        <v>9853.8333333333339</v>
      </c>
      <c r="AZ45" s="79">
        <f t="shared" si="28"/>
        <v>10458.966666666667</v>
      </c>
      <c r="BA45" s="680"/>
    </row>
    <row r="46" spans="1:53">
      <c r="A46" s="276" t="s">
        <v>727</v>
      </c>
      <c r="B46" s="466" t="s">
        <v>730</v>
      </c>
      <c r="C46" s="276">
        <v>106245</v>
      </c>
      <c r="D46" s="155">
        <v>3</v>
      </c>
      <c r="E46" s="148" t="s">
        <v>393</v>
      </c>
      <c r="F46" s="149"/>
      <c r="G46" s="78"/>
      <c r="H46" s="675"/>
      <c r="I46" s="78">
        <v>93281</v>
      </c>
      <c r="J46" s="678">
        <v>94900</v>
      </c>
      <c r="K46" s="679">
        <v>21520</v>
      </c>
      <c r="L46" s="678">
        <v>23637</v>
      </c>
      <c r="M46" s="679">
        <v>98346</v>
      </c>
      <c r="N46" s="678">
        <v>106088</v>
      </c>
      <c r="O46" s="256">
        <f t="shared" si="18"/>
        <v>213147</v>
      </c>
      <c r="P46" s="89">
        <f t="shared" si="19"/>
        <v>7104.9</v>
      </c>
      <c r="Q46" s="257">
        <f t="shared" si="20"/>
        <v>224625</v>
      </c>
      <c r="R46" s="79">
        <f t="shared" si="3"/>
        <v>7487.5</v>
      </c>
      <c r="S46" s="78">
        <v>6221</v>
      </c>
      <c r="T46" s="678">
        <v>8869</v>
      </c>
      <c r="U46" s="256">
        <f t="shared" si="21"/>
        <v>213147</v>
      </c>
      <c r="V46" s="434">
        <f t="shared" si="22"/>
        <v>224625</v>
      </c>
      <c r="W46" s="78"/>
      <c r="X46" s="675"/>
      <c r="Y46" s="78"/>
      <c r="Z46" s="675"/>
      <c r="AA46" s="78"/>
      <c r="AB46" s="675"/>
      <c r="AC46" s="78"/>
      <c r="AD46" s="675"/>
      <c r="AE46" s="256">
        <f t="shared" si="23"/>
        <v>0</v>
      </c>
      <c r="AF46" s="89">
        <f t="shared" si="7"/>
        <v>0</v>
      </c>
      <c r="AG46" s="257">
        <f t="shared" si="24"/>
        <v>0</v>
      </c>
      <c r="AH46" s="79">
        <f t="shared" si="9"/>
        <v>0</v>
      </c>
      <c r="AI46" s="78"/>
      <c r="AJ46" s="675"/>
      <c r="AK46" s="256">
        <f t="shared" si="25"/>
        <v>0</v>
      </c>
      <c r="AL46" s="434">
        <f t="shared" si="26"/>
        <v>0</v>
      </c>
      <c r="AM46" s="78"/>
      <c r="AN46" s="675"/>
      <c r="AO46" s="78">
        <v>19630</v>
      </c>
      <c r="AP46" s="678">
        <v>20273</v>
      </c>
      <c r="AQ46" s="78">
        <v>7907</v>
      </c>
      <c r="AR46" s="678">
        <v>8236</v>
      </c>
      <c r="AS46" s="78">
        <v>21268</v>
      </c>
      <c r="AT46" s="678">
        <v>22773</v>
      </c>
      <c r="AU46" s="258">
        <f t="shared" si="12"/>
        <v>48805</v>
      </c>
      <c r="AV46" s="89">
        <f t="shared" si="13"/>
        <v>2033.5416666666667</v>
      </c>
      <c r="AW46" s="257">
        <f t="shared" si="14"/>
        <v>51282</v>
      </c>
      <c r="AX46" s="79">
        <f t="shared" si="15"/>
        <v>2136.75</v>
      </c>
      <c r="AY46" s="259">
        <f t="shared" si="27"/>
        <v>9138.4416666666657</v>
      </c>
      <c r="AZ46" s="79">
        <f t="shared" si="28"/>
        <v>9624.25</v>
      </c>
      <c r="BA46" s="680"/>
    </row>
    <row r="47" spans="1:53">
      <c r="A47" s="276" t="s">
        <v>727</v>
      </c>
      <c r="B47" s="466" t="s">
        <v>731</v>
      </c>
      <c r="C47" s="276">
        <v>106704</v>
      </c>
      <c r="D47" s="155">
        <v>3</v>
      </c>
      <c r="E47" s="148" t="s">
        <v>393</v>
      </c>
      <c r="F47" s="665"/>
      <c r="G47" s="78"/>
      <c r="H47" s="681"/>
      <c r="I47" s="78">
        <v>131445</v>
      </c>
      <c r="J47" s="682">
        <v>133949</v>
      </c>
      <c r="K47" s="679">
        <v>18673</v>
      </c>
      <c r="L47" s="682">
        <v>18149</v>
      </c>
      <c r="M47" s="679">
        <v>145326</v>
      </c>
      <c r="N47" s="682">
        <v>135901</v>
      </c>
      <c r="O47" s="256">
        <f t="shared" si="18"/>
        <v>295444</v>
      </c>
      <c r="P47" s="89">
        <f t="shared" si="19"/>
        <v>9848.1333333333332</v>
      </c>
      <c r="Q47" s="667">
        <f t="shared" si="20"/>
        <v>287999</v>
      </c>
      <c r="R47" s="668">
        <f t="shared" si="3"/>
        <v>9599.9666666666672</v>
      </c>
      <c r="S47" s="78">
        <v>9740</v>
      </c>
      <c r="T47" s="682">
        <v>9580</v>
      </c>
      <c r="U47" s="256">
        <f t="shared" si="21"/>
        <v>295444</v>
      </c>
      <c r="V47" s="666">
        <f t="shared" si="22"/>
        <v>287999</v>
      </c>
      <c r="W47" s="78"/>
      <c r="X47" s="681"/>
      <c r="Y47" s="78"/>
      <c r="Z47" s="681"/>
      <c r="AA47" s="78"/>
      <c r="AB47" s="681"/>
      <c r="AC47" s="78"/>
      <c r="AD47" s="681"/>
      <c r="AE47" s="256">
        <f t="shared" si="23"/>
        <v>0</v>
      </c>
      <c r="AF47" s="89">
        <f t="shared" si="7"/>
        <v>0</v>
      </c>
      <c r="AG47" s="667">
        <f t="shared" si="24"/>
        <v>0</v>
      </c>
      <c r="AH47" s="668">
        <f t="shared" si="9"/>
        <v>0</v>
      </c>
      <c r="AI47" s="78"/>
      <c r="AJ47" s="681"/>
      <c r="AK47" s="256">
        <f t="shared" si="25"/>
        <v>0</v>
      </c>
      <c r="AL47" s="666">
        <f t="shared" si="26"/>
        <v>0</v>
      </c>
      <c r="AM47" s="78"/>
      <c r="AN47" s="681"/>
      <c r="AO47" s="78">
        <v>13067</v>
      </c>
      <c r="AP47" s="682">
        <v>13200</v>
      </c>
      <c r="AQ47" s="78">
        <v>9086</v>
      </c>
      <c r="AR47" s="682">
        <v>8584</v>
      </c>
      <c r="AS47" s="78">
        <v>13225</v>
      </c>
      <c r="AT47" s="682">
        <v>12388</v>
      </c>
      <c r="AU47" s="258">
        <f t="shared" si="12"/>
        <v>35378</v>
      </c>
      <c r="AV47" s="89">
        <f t="shared" si="13"/>
        <v>1474.0833333333333</v>
      </c>
      <c r="AW47" s="667">
        <f t="shared" si="14"/>
        <v>34172</v>
      </c>
      <c r="AX47" s="668">
        <f t="shared" si="15"/>
        <v>1423.8333333333333</v>
      </c>
      <c r="AY47" s="259">
        <f t="shared" si="27"/>
        <v>11322.216666666667</v>
      </c>
      <c r="AZ47" s="668">
        <f t="shared" si="28"/>
        <v>11023.800000000001</v>
      </c>
      <c r="BA47" s="680"/>
    </row>
    <row r="48" spans="1:53">
      <c r="A48" s="276" t="s">
        <v>727</v>
      </c>
      <c r="B48" s="466" t="s">
        <v>732</v>
      </c>
      <c r="C48" s="276">
        <v>106467</v>
      </c>
      <c r="D48" s="155">
        <v>4</v>
      </c>
      <c r="E48" s="148" t="s">
        <v>393</v>
      </c>
      <c r="F48" s="149"/>
      <c r="G48" s="78"/>
      <c r="H48" s="675"/>
      <c r="I48" s="78">
        <v>84096</v>
      </c>
      <c r="J48" s="678">
        <v>79670</v>
      </c>
      <c r="K48" s="679">
        <v>14102</v>
      </c>
      <c r="L48" s="678">
        <v>14049</v>
      </c>
      <c r="M48" s="679">
        <v>93317</v>
      </c>
      <c r="N48" s="678">
        <v>94964</v>
      </c>
      <c r="O48" s="256">
        <f t="shared" si="18"/>
        <v>191515</v>
      </c>
      <c r="P48" s="89">
        <f t="shared" si="19"/>
        <v>6383.833333333333</v>
      </c>
      <c r="Q48" s="257">
        <f t="shared" si="20"/>
        <v>188683</v>
      </c>
      <c r="R48" s="79">
        <f t="shared" si="3"/>
        <v>6289.4333333333334</v>
      </c>
      <c r="S48" s="78">
        <v>2544</v>
      </c>
      <c r="T48" s="678">
        <v>3934</v>
      </c>
      <c r="U48" s="256">
        <f t="shared" si="21"/>
        <v>191515</v>
      </c>
      <c r="V48" s="434">
        <f t="shared" si="22"/>
        <v>188683</v>
      </c>
      <c r="W48" s="78"/>
      <c r="X48" s="675"/>
      <c r="Y48" s="78"/>
      <c r="Z48" s="675"/>
      <c r="AA48" s="78"/>
      <c r="AB48" s="675"/>
      <c r="AC48" s="78"/>
      <c r="AD48" s="675"/>
      <c r="AE48" s="256">
        <f t="shared" si="23"/>
        <v>0</v>
      </c>
      <c r="AF48" s="89">
        <f t="shared" si="7"/>
        <v>0</v>
      </c>
      <c r="AG48" s="257">
        <f t="shared" si="24"/>
        <v>0</v>
      </c>
      <c r="AH48" s="79">
        <f t="shared" si="9"/>
        <v>0</v>
      </c>
      <c r="AI48" s="78"/>
      <c r="AJ48" s="675"/>
      <c r="AK48" s="256">
        <f t="shared" si="25"/>
        <v>0</v>
      </c>
      <c r="AL48" s="434">
        <f t="shared" si="26"/>
        <v>0</v>
      </c>
      <c r="AM48" s="78"/>
      <c r="AN48" s="675"/>
      <c r="AO48" s="78">
        <v>3379</v>
      </c>
      <c r="AP48" s="678">
        <v>3192</v>
      </c>
      <c r="AQ48" s="78">
        <v>2131</v>
      </c>
      <c r="AR48" s="678">
        <v>2311</v>
      </c>
      <c r="AS48" s="78">
        <v>3182</v>
      </c>
      <c r="AT48" s="678">
        <v>3462</v>
      </c>
      <c r="AU48" s="258">
        <f t="shared" si="12"/>
        <v>8692</v>
      </c>
      <c r="AV48" s="89">
        <f t="shared" si="13"/>
        <v>362.16666666666669</v>
      </c>
      <c r="AW48" s="257">
        <f t="shared" si="14"/>
        <v>8965</v>
      </c>
      <c r="AX48" s="79">
        <f t="shared" si="15"/>
        <v>373.54166666666669</v>
      </c>
      <c r="AY48" s="259">
        <f t="shared" si="27"/>
        <v>6746</v>
      </c>
      <c r="AZ48" s="79">
        <f t="shared" si="28"/>
        <v>6662.9750000000004</v>
      </c>
      <c r="BA48" s="680"/>
    </row>
    <row r="49" spans="1:53">
      <c r="A49" s="276" t="s">
        <v>727</v>
      </c>
      <c r="B49" s="466" t="s">
        <v>733</v>
      </c>
      <c r="C49" s="276">
        <v>107071</v>
      </c>
      <c r="D49" s="155">
        <v>4</v>
      </c>
      <c r="E49" s="148" t="s">
        <v>393</v>
      </c>
      <c r="F49" s="149"/>
      <c r="G49" s="78"/>
      <c r="H49" s="675"/>
      <c r="I49" s="78">
        <v>39598</v>
      </c>
      <c r="J49" s="678">
        <v>38649</v>
      </c>
      <c r="K49" s="679">
        <v>5788</v>
      </c>
      <c r="L49" s="678">
        <v>5304</v>
      </c>
      <c r="M49" s="679">
        <v>43165</v>
      </c>
      <c r="N49" s="678">
        <v>43102</v>
      </c>
      <c r="O49" s="256">
        <f t="shared" si="18"/>
        <v>88551</v>
      </c>
      <c r="P49" s="89">
        <f t="shared" si="19"/>
        <v>2951.7</v>
      </c>
      <c r="Q49" s="257">
        <f t="shared" si="20"/>
        <v>87055</v>
      </c>
      <c r="R49" s="79">
        <f t="shared" si="3"/>
        <v>2901.8333333333335</v>
      </c>
      <c r="S49" s="78">
        <v>119</v>
      </c>
      <c r="T49" s="678">
        <v>129</v>
      </c>
      <c r="U49" s="256">
        <f t="shared" si="21"/>
        <v>88551</v>
      </c>
      <c r="V49" s="434">
        <f t="shared" si="22"/>
        <v>87055</v>
      </c>
      <c r="W49" s="78"/>
      <c r="X49" s="675"/>
      <c r="Y49" s="78"/>
      <c r="Z49" s="675"/>
      <c r="AA49" s="78"/>
      <c r="AB49" s="675"/>
      <c r="AC49" s="78"/>
      <c r="AD49" s="675"/>
      <c r="AE49" s="256">
        <f t="shared" si="23"/>
        <v>0</v>
      </c>
      <c r="AF49" s="89">
        <f t="shared" si="7"/>
        <v>0</v>
      </c>
      <c r="AG49" s="257">
        <f t="shared" si="24"/>
        <v>0</v>
      </c>
      <c r="AH49" s="79">
        <f t="shared" si="9"/>
        <v>0</v>
      </c>
      <c r="AI49" s="78"/>
      <c r="AJ49" s="675"/>
      <c r="AK49" s="256">
        <f t="shared" si="25"/>
        <v>0</v>
      </c>
      <c r="AL49" s="434">
        <f t="shared" si="26"/>
        <v>0</v>
      </c>
      <c r="AM49" s="78"/>
      <c r="AN49" s="675"/>
      <c r="AO49" s="78">
        <v>2959</v>
      </c>
      <c r="AP49" s="678">
        <v>3600</v>
      </c>
      <c r="AQ49" s="78">
        <v>5850</v>
      </c>
      <c r="AR49" s="678">
        <v>5535</v>
      </c>
      <c r="AS49" s="78">
        <v>3486</v>
      </c>
      <c r="AT49" s="678">
        <v>2758</v>
      </c>
      <c r="AU49" s="258">
        <f t="shared" si="12"/>
        <v>12295</v>
      </c>
      <c r="AV49" s="89">
        <f t="shared" si="13"/>
        <v>512.29166666666663</v>
      </c>
      <c r="AW49" s="257">
        <f t="shared" si="14"/>
        <v>11893</v>
      </c>
      <c r="AX49" s="79">
        <f t="shared" si="15"/>
        <v>495.54166666666669</v>
      </c>
      <c r="AY49" s="259">
        <f t="shared" si="27"/>
        <v>3463.9916666666663</v>
      </c>
      <c r="AZ49" s="79">
        <f t="shared" si="28"/>
        <v>3397.375</v>
      </c>
      <c r="BA49" s="680"/>
    </row>
    <row r="50" spans="1:53">
      <c r="A50" s="276" t="s">
        <v>727</v>
      </c>
      <c r="B50" s="466" t="s">
        <v>734</v>
      </c>
      <c r="C50" s="276">
        <v>107983</v>
      </c>
      <c r="D50" s="155">
        <v>5</v>
      </c>
      <c r="E50" s="148" t="s">
        <v>393</v>
      </c>
      <c r="F50" s="149"/>
      <c r="G50" s="78"/>
      <c r="H50" s="675"/>
      <c r="I50" s="78">
        <v>34412</v>
      </c>
      <c r="J50" s="678">
        <v>33220</v>
      </c>
      <c r="K50" s="679">
        <v>4183</v>
      </c>
      <c r="L50" s="678">
        <v>4607</v>
      </c>
      <c r="M50" s="679">
        <v>36735</v>
      </c>
      <c r="N50" s="678">
        <v>38244</v>
      </c>
      <c r="O50" s="256">
        <f t="shared" si="18"/>
        <v>75330</v>
      </c>
      <c r="P50" s="89">
        <f t="shared" si="19"/>
        <v>2511</v>
      </c>
      <c r="Q50" s="257">
        <f t="shared" si="20"/>
        <v>76071</v>
      </c>
      <c r="R50" s="79">
        <f t="shared" si="3"/>
        <v>2535.6999999999998</v>
      </c>
      <c r="S50" s="78">
        <v>606</v>
      </c>
      <c r="T50" s="678">
        <v>517</v>
      </c>
      <c r="U50" s="256">
        <f t="shared" si="21"/>
        <v>75330</v>
      </c>
      <c r="V50" s="434">
        <f t="shared" si="22"/>
        <v>76071</v>
      </c>
      <c r="W50" s="78"/>
      <c r="X50" s="675"/>
      <c r="Y50" s="78"/>
      <c r="Z50" s="675"/>
      <c r="AA50" s="78"/>
      <c r="AB50" s="675"/>
      <c r="AC50" s="78"/>
      <c r="AD50" s="675"/>
      <c r="AE50" s="256">
        <f t="shared" si="23"/>
        <v>0</v>
      </c>
      <c r="AF50" s="89">
        <f t="shared" si="7"/>
        <v>0</v>
      </c>
      <c r="AG50" s="257">
        <f t="shared" si="24"/>
        <v>0</v>
      </c>
      <c r="AH50" s="79">
        <f t="shared" si="9"/>
        <v>0</v>
      </c>
      <c r="AI50" s="78"/>
      <c r="AJ50" s="675"/>
      <c r="AK50" s="256">
        <f t="shared" si="25"/>
        <v>0</v>
      </c>
      <c r="AL50" s="434">
        <f t="shared" si="26"/>
        <v>0</v>
      </c>
      <c r="AM50" s="78"/>
      <c r="AN50" s="675"/>
      <c r="AO50" s="78">
        <v>2054</v>
      </c>
      <c r="AP50" s="678">
        <v>2582</v>
      </c>
      <c r="AQ50" s="78">
        <v>2691</v>
      </c>
      <c r="AR50" s="678">
        <v>2824</v>
      </c>
      <c r="AS50" s="78">
        <v>2447</v>
      </c>
      <c r="AT50" s="678">
        <v>2751</v>
      </c>
      <c r="AU50" s="258">
        <f t="shared" si="12"/>
        <v>7192</v>
      </c>
      <c r="AV50" s="89">
        <f t="shared" si="13"/>
        <v>299.66666666666669</v>
      </c>
      <c r="AW50" s="257">
        <f t="shared" si="14"/>
        <v>8157</v>
      </c>
      <c r="AX50" s="79">
        <f t="shared" si="15"/>
        <v>339.875</v>
      </c>
      <c r="AY50" s="259">
        <f t="shared" si="27"/>
        <v>2810.6666666666665</v>
      </c>
      <c r="AZ50" s="79">
        <f t="shared" si="28"/>
        <v>2875.5749999999998</v>
      </c>
      <c r="BA50" s="680"/>
    </row>
    <row r="51" spans="1:53">
      <c r="A51" s="276" t="s">
        <v>727</v>
      </c>
      <c r="B51" s="466" t="s">
        <v>735</v>
      </c>
      <c r="C51" s="276">
        <v>106485</v>
      </c>
      <c r="D51" s="155">
        <v>5</v>
      </c>
      <c r="E51" s="148" t="s">
        <v>393</v>
      </c>
      <c r="F51" s="149"/>
      <c r="G51" s="78"/>
      <c r="H51" s="675"/>
      <c r="I51" s="78">
        <v>34789</v>
      </c>
      <c r="J51" s="678">
        <v>29117</v>
      </c>
      <c r="K51" s="679">
        <v>7289</v>
      </c>
      <c r="L51" s="678">
        <v>6127</v>
      </c>
      <c r="M51" s="679">
        <v>37200</v>
      </c>
      <c r="N51" s="678">
        <v>32328</v>
      </c>
      <c r="O51" s="256">
        <f t="shared" si="18"/>
        <v>79278</v>
      </c>
      <c r="P51" s="89">
        <f t="shared" si="19"/>
        <v>2642.6</v>
      </c>
      <c r="Q51" s="257">
        <f t="shared" si="20"/>
        <v>67572</v>
      </c>
      <c r="R51" s="79">
        <f t="shared" si="3"/>
        <v>2252.4</v>
      </c>
      <c r="S51" s="78">
        <v>3573</v>
      </c>
      <c r="T51" s="678">
        <v>3409</v>
      </c>
      <c r="U51" s="256">
        <f t="shared" si="21"/>
        <v>79278</v>
      </c>
      <c r="V51" s="434">
        <f t="shared" si="22"/>
        <v>67572</v>
      </c>
      <c r="W51" s="78"/>
      <c r="X51" s="675"/>
      <c r="Y51" s="78"/>
      <c r="Z51" s="675"/>
      <c r="AA51" s="78"/>
      <c r="AB51" s="675"/>
      <c r="AC51" s="78"/>
      <c r="AD51" s="675"/>
      <c r="AE51" s="256">
        <f t="shared" si="23"/>
        <v>0</v>
      </c>
      <c r="AF51" s="89">
        <f t="shared" si="7"/>
        <v>0</v>
      </c>
      <c r="AG51" s="257">
        <f t="shared" si="24"/>
        <v>0</v>
      </c>
      <c r="AH51" s="79">
        <f t="shared" si="9"/>
        <v>0</v>
      </c>
      <c r="AI51" s="78"/>
      <c r="AJ51" s="675"/>
      <c r="AK51" s="256">
        <f t="shared" si="25"/>
        <v>0</v>
      </c>
      <c r="AL51" s="434">
        <f t="shared" si="26"/>
        <v>0</v>
      </c>
      <c r="AM51" s="78"/>
      <c r="AN51" s="675"/>
      <c r="AO51" s="78">
        <v>885</v>
      </c>
      <c r="AP51" s="678">
        <v>698</v>
      </c>
      <c r="AQ51" s="78">
        <v>806</v>
      </c>
      <c r="AR51" s="678">
        <v>730</v>
      </c>
      <c r="AS51" s="78">
        <v>742</v>
      </c>
      <c r="AT51" s="678">
        <v>692</v>
      </c>
      <c r="AU51" s="258">
        <f t="shared" si="12"/>
        <v>2433</v>
      </c>
      <c r="AV51" s="89">
        <f t="shared" si="13"/>
        <v>101.375</v>
      </c>
      <c r="AW51" s="257">
        <f t="shared" si="14"/>
        <v>2120</v>
      </c>
      <c r="AX51" s="79">
        <f t="shared" si="15"/>
        <v>88.333333333333329</v>
      </c>
      <c r="AY51" s="259">
        <f t="shared" si="27"/>
        <v>2743.9749999999999</v>
      </c>
      <c r="AZ51" s="79">
        <f t="shared" si="28"/>
        <v>2340.7333333333336</v>
      </c>
      <c r="BA51" s="680"/>
    </row>
    <row r="52" spans="1:53">
      <c r="A52" s="276" t="s">
        <v>727</v>
      </c>
      <c r="B52" s="466" t="s">
        <v>260</v>
      </c>
      <c r="C52" s="276">
        <v>108092</v>
      </c>
      <c r="D52" s="155">
        <v>6</v>
      </c>
      <c r="E52" s="148" t="s">
        <v>393</v>
      </c>
      <c r="F52" s="149"/>
      <c r="G52" s="78"/>
      <c r="H52" s="675"/>
      <c r="I52" s="78">
        <v>68327</v>
      </c>
      <c r="J52" s="678">
        <v>72303</v>
      </c>
      <c r="K52" s="679">
        <v>15854</v>
      </c>
      <c r="L52" s="678">
        <v>16982</v>
      </c>
      <c r="M52" s="679">
        <v>77193</v>
      </c>
      <c r="N52" s="678">
        <v>85074</v>
      </c>
      <c r="O52" s="256">
        <f t="shared" si="18"/>
        <v>161374</v>
      </c>
      <c r="P52" s="89">
        <f t="shared" si="19"/>
        <v>5379.1333333333332</v>
      </c>
      <c r="Q52" s="257">
        <f t="shared" si="20"/>
        <v>174359</v>
      </c>
      <c r="R52" s="79">
        <f t="shared" si="3"/>
        <v>5811.9666666666662</v>
      </c>
      <c r="S52" s="78">
        <v>7284</v>
      </c>
      <c r="T52" s="678">
        <v>7681</v>
      </c>
      <c r="U52" s="256">
        <f t="shared" si="21"/>
        <v>161374</v>
      </c>
      <c r="V52" s="434">
        <f t="shared" si="22"/>
        <v>174359</v>
      </c>
      <c r="W52" s="78"/>
      <c r="X52" s="675"/>
      <c r="Y52" s="78"/>
      <c r="Z52" s="675"/>
      <c r="AA52" s="78"/>
      <c r="AB52" s="675"/>
      <c r="AC52" s="78"/>
      <c r="AD52" s="675"/>
      <c r="AE52" s="256">
        <f t="shared" si="23"/>
        <v>0</v>
      </c>
      <c r="AF52" s="89">
        <f t="shared" si="7"/>
        <v>0</v>
      </c>
      <c r="AG52" s="257">
        <f t="shared" si="24"/>
        <v>0</v>
      </c>
      <c r="AH52" s="79">
        <f t="shared" si="9"/>
        <v>0</v>
      </c>
      <c r="AI52" s="78"/>
      <c r="AJ52" s="675"/>
      <c r="AK52" s="256">
        <f t="shared" si="25"/>
        <v>0</v>
      </c>
      <c r="AL52" s="434">
        <f t="shared" si="26"/>
        <v>0</v>
      </c>
      <c r="AM52" s="78"/>
      <c r="AN52" s="675"/>
      <c r="AO52" s="78"/>
      <c r="AP52" s="678"/>
      <c r="AQ52" s="78"/>
      <c r="AR52" s="678"/>
      <c r="AS52" s="78"/>
      <c r="AT52" s="678"/>
      <c r="AU52" s="258">
        <f t="shared" si="12"/>
        <v>0</v>
      </c>
      <c r="AV52" s="89">
        <f t="shared" si="13"/>
        <v>0</v>
      </c>
      <c r="AW52" s="257">
        <f t="shared" si="14"/>
        <v>0</v>
      </c>
      <c r="AX52" s="79">
        <f t="shared" si="15"/>
        <v>0</v>
      </c>
      <c r="AY52" s="259">
        <f t="shared" si="27"/>
        <v>5379.1333333333332</v>
      </c>
      <c r="AZ52" s="79">
        <f t="shared" si="28"/>
        <v>5811.9666666666662</v>
      </c>
      <c r="BA52" s="680"/>
    </row>
    <row r="53" spans="1:53">
      <c r="A53" s="276" t="s">
        <v>727</v>
      </c>
      <c r="B53" s="466" t="s">
        <v>736</v>
      </c>
      <c r="C53" s="276">
        <v>106412</v>
      </c>
      <c r="D53" s="155">
        <v>6</v>
      </c>
      <c r="E53" s="148" t="s">
        <v>393</v>
      </c>
      <c r="F53" s="149"/>
      <c r="G53" s="78"/>
      <c r="H53" s="675"/>
      <c r="I53" s="78">
        <v>37374</v>
      </c>
      <c r="J53" s="678">
        <v>41852</v>
      </c>
      <c r="K53" s="679">
        <v>5993</v>
      </c>
      <c r="L53" s="678">
        <v>6578</v>
      </c>
      <c r="M53" s="679">
        <v>46476</v>
      </c>
      <c r="N53" s="678">
        <v>50684</v>
      </c>
      <c r="O53" s="256">
        <f t="shared" si="18"/>
        <v>89843</v>
      </c>
      <c r="P53" s="89">
        <f t="shared" si="19"/>
        <v>2994.7666666666669</v>
      </c>
      <c r="Q53" s="257">
        <f t="shared" si="20"/>
        <v>99114</v>
      </c>
      <c r="R53" s="79">
        <f t="shared" si="3"/>
        <v>3303.8</v>
      </c>
      <c r="S53" s="78">
        <v>48</v>
      </c>
      <c r="T53" s="678">
        <v>27</v>
      </c>
      <c r="U53" s="256">
        <f t="shared" si="21"/>
        <v>89843</v>
      </c>
      <c r="V53" s="434">
        <f t="shared" si="22"/>
        <v>99114</v>
      </c>
      <c r="W53" s="78"/>
      <c r="X53" s="675"/>
      <c r="Y53" s="78"/>
      <c r="Z53" s="675"/>
      <c r="AA53" s="78"/>
      <c r="AB53" s="675"/>
      <c r="AC53" s="78"/>
      <c r="AD53" s="675"/>
      <c r="AE53" s="256">
        <f t="shared" si="23"/>
        <v>0</v>
      </c>
      <c r="AF53" s="89">
        <f t="shared" si="7"/>
        <v>0</v>
      </c>
      <c r="AG53" s="257">
        <f t="shared" si="24"/>
        <v>0</v>
      </c>
      <c r="AH53" s="79">
        <f t="shared" si="9"/>
        <v>0</v>
      </c>
      <c r="AI53" s="78"/>
      <c r="AJ53" s="675"/>
      <c r="AK53" s="256">
        <f t="shared" si="25"/>
        <v>0</v>
      </c>
      <c r="AL53" s="434">
        <f t="shared" si="26"/>
        <v>0</v>
      </c>
      <c r="AM53" s="78"/>
      <c r="AN53" s="675"/>
      <c r="AO53" s="78">
        <v>657</v>
      </c>
      <c r="AP53" s="678">
        <v>878</v>
      </c>
      <c r="AQ53" s="78">
        <v>461</v>
      </c>
      <c r="AR53" s="678">
        <v>409</v>
      </c>
      <c r="AS53" s="78">
        <v>928</v>
      </c>
      <c r="AT53" s="678">
        <v>930</v>
      </c>
      <c r="AU53" s="258">
        <f t="shared" si="12"/>
        <v>2046</v>
      </c>
      <c r="AV53" s="89">
        <f t="shared" si="13"/>
        <v>85.25</v>
      </c>
      <c r="AW53" s="257">
        <f t="shared" si="14"/>
        <v>2217</v>
      </c>
      <c r="AX53" s="79">
        <f t="shared" si="15"/>
        <v>92.375</v>
      </c>
      <c r="AY53" s="259">
        <f t="shared" si="27"/>
        <v>3080.0166666666669</v>
      </c>
      <c r="AZ53" s="79">
        <f t="shared" si="28"/>
        <v>3396.1750000000002</v>
      </c>
      <c r="BA53" s="680"/>
    </row>
    <row r="54" spans="1:53">
      <c r="A54" s="285" t="s">
        <v>727</v>
      </c>
      <c r="B54" s="467" t="s">
        <v>737</v>
      </c>
      <c r="C54" s="468">
        <v>107664</v>
      </c>
      <c r="D54" s="158">
        <v>8</v>
      </c>
      <c r="E54" s="148" t="s">
        <v>393</v>
      </c>
      <c r="F54" s="149"/>
      <c r="G54" s="78"/>
      <c r="H54" s="675"/>
      <c r="I54" s="78">
        <v>85052</v>
      </c>
      <c r="J54" s="678">
        <v>93788</v>
      </c>
      <c r="K54" s="679">
        <v>18015</v>
      </c>
      <c r="L54" s="678">
        <v>17842</v>
      </c>
      <c r="M54" s="679">
        <v>87168</v>
      </c>
      <c r="N54" s="678">
        <v>100767</v>
      </c>
      <c r="O54" s="256">
        <f t="shared" si="18"/>
        <v>190235</v>
      </c>
      <c r="P54" s="89">
        <f t="shared" si="19"/>
        <v>6341.166666666667</v>
      </c>
      <c r="Q54" s="257">
        <f t="shared" si="20"/>
        <v>212397</v>
      </c>
      <c r="R54" s="79">
        <f t="shared" si="3"/>
        <v>7079.9</v>
      </c>
      <c r="S54" s="78">
        <v>3025</v>
      </c>
      <c r="T54" s="678">
        <v>3173</v>
      </c>
      <c r="U54" s="256">
        <f t="shared" si="21"/>
        <v>190235</v>
      </c>
      <c r="V54" s="434">
        <f t="shared" si="22"/>
        <v>212397</v>
      </c>
      <c r="W54" s="78"/>
      <c r="X54" s="675"/>
      <c r="Y54" s="78"/>
      <c r="Z54" s="675"/>
      <c r="AA54" s="78"/>
      <c r="AB54" s="675"/>
      <c r="AC54" s="78"/>
      <c r="AD54" s="675"/>
      <c r="AE54" s="256">
        <f t="shared" si="23"/>
        <v>0</v>
      </c>
      <c r="AF54" s="89">
        <f t="shared" si="7"/>
        <v>0</v>
      </c>
      <c r="AG54" s="257">
        <f t="shared" si="24"/>
        <v>0</v>
      </c>
      <c r="AH54" s="79">
        <f t="shared" si="9"/>
        <v>0</v>
      </c>
      <c r="AI54" s="78"/>
      <c r="AJ54" s="675"/>
      <c r="AK54" s="256">
        <f t="shared" si="25"/>
        <v>0</v>
      </c>
      <c r="AL54" s="434">
        <f t="shared" si="26"/>
        <v>0</v>
      </c>
      <c r="AM54" s="78"/>
      <c r="AN54" s="675"/>
      <c r="AO54" s="78"/>
      <c r="AP54" s="678"/>
      <c r="AQ54" s="78"/>
      <c r="AR54" s="678"/>
      <c r="AS54" s="78"/>
      <c r="AT54" s="678"/>
      <c r="AU54" s="258">
        <f t="shared" si="12"/>
        <v>0</v>
      </c>
      <c r="AV54" s="89">
        <f t="shared" si="13"/>
        <v>0</v>
      </c>
      <c r="AW54" s="257">
        <f t="shared" si="14"/>
        <v>0</v>
      </c>
      <c r="AX54" s="79">
        <f t="shared" si="15"/>
        <v>0</v>
      </c>
      <c r="AY54" s="259">
        <f t="shared" si="27"/>
        <v>6341.166666666667</v>
      </c>
      <c r="AZ54" s="79">
        <f t="shared" si="28"/>
        <v>7079.9</v>
      </c>
      <c r="BA54" s="680"/>
    </row>
    <row r="55" spans="1:53">
      <c r="A55" s="276" t="s">
        <v>727</v>
      </c>
      <c r="B55" s="466" t="s">
        <v>738</v>
      </c>
      <c r="C55" s="276">
        <v>106449</v>
      </c>
      <c r="D55" s="155">
        <v>9</v>
      </c>
      <c r="E55" s="148" t="s">
        <v>393</v>
      </c>
      <c r="F55" s="149"/>
      <c r="G55" s="78"/>
      <c r="H55" s="675"/>
      <c r="I55" s="78">
        <v>41921</v>
      </c>
      <c r="J55" s="678">
        <v>42023</v>
      </c>
      <c r="K55" s="679">
        <v>11003</v>
      </c>
      <c r="L55" s="678">
        <v>10576</v>
      </c>
      <c r="M55" s="679">
        <v>45614</v>
      </c>
      <c r="N55" s="678">
        <v>48398</v>
      </c>
      <c r="O55" s="256">
        <f t="shared" si="18"/>
        <v>98538</v>
      </c>
      <c r="P55" s="89">
        <f t="shared" si="19"/>
        <v>3284.6</v>
      </c>
      <c r="Q55" s="257">
        <f t="shared" si="20"/>
        <v>100997</v>
      </c>
      <c r="R55" s="79">
        <f t="shared" si="3"/>
        <v>3366.5666666666666</v>
      </c>
      <c r="S55" s="78">
        <v>6630</v>
      </c>
      <c r="T55" s="678">
        <v>6138</v>
      </c>
      <c r="U55" s="256">
        <f t="shared" si="21"/>
        <v>98538</v>
      </c>
      <c r="V55" s="434">
        <f t="shared" si="22"/>
        <v>100997</v>
      </c>
      <c r="W55" s="78"/>
      <c r="X55" s="675"/>
      <c r="Y55" s="78"/>
      <c r="Z55" s="675"/>
      <c r="AA55" s="78"/>
      <c r="AB55" s="675"/>
      <c r="AC55" s="78"/>
      <c r="AD55" s="675"/>
      <c r="AE55" s="256">
        <f t="shared" si="23"/>
        <v>0</v>
      </c>
      <c r="AF55" s="89">
        <f t="shared" si="7"/>
        <v>0</v>
      </c>
      <c r="AG55" s="257">
        <f t="shared" si="24"/>
        <v>0</v>
      </c>
      <c r="AH55" s="79">
        <f t="shared" si="9"/>
        <v>0</v>
      </c>
      <c r="AI55" s="78"/>
      <c r="AJ55" s="675"/>
      <c r="AK55" s="256">
        <f t="shared" si="25"/>
        <v>0</v>
      </c>
      <c r="AL55" s="434">
        <f t="shared" si="26"/>
        <v>0</v>
      </c>
      <c r="AM55" s="78"/>
      <c r="AN55" s="675"/>
      <c r="AO55" s="78"/>
      <c r="AP55" s="678"/>
      <c r="AQ55" s="78"/>
      <c r="AR55" s="678"/>
      <c r="AS55" s="78"/>
      <c r="AT55" s="678"/>
      <c r="AU55" s="258">
        <f t="shared" si="12"/>
        <v>0</v>
      </c>
      <c r="AV55" s="89">
        <f t="shared" si="13"/>
        <v>0</v>
      </c>
      <c r="AW55" s="257">
        <f t="shared" si="14"/>
        <v>0</v>
      </c>
      <c r="AX55" s="79">
        <f t="shared" si="15"/>
        <v>0</v>
      </c>
      <c r="AY55" s="259">
        <f t="shared" si="27"/>
        <v>3284.6</v>
      </c>
      <c r="AZ55" s="79">
        <f t="shared" si="28"/>
        <v>3366.5666666666666</v>
      </c>
      <c r="BA55" s="680"/>
    </row>
    <row r="56" spans="1:53">
      <c r="A56" s="276" t="s">
        <v>727</v>
      </c>
      <c r="B56" s="466" t="s">
        <v>739</v>
      </c>
      <c r="C56" s="276">
        <v>367459</v>
      </c>
      <c r="D56" s="155">
        <v>9</v>
      </c>
      <c r="E56" s="148" t="s">
        <v>393</v>
      </c>
      <c r="F56" s="149"/>
      <c r="G56" s="78"/>
      <c r="H56" s="675"/>
      <c r="I56" s="78">
        <v>56212</v>
      </c>
      <c r="J56" s="678">
        <v>63519</v>
      </c>
      <c r="K56" s="679">
        <v>13549</v>
      </c>
      <c r="L56" s="678">
        <v>16389</v>
      </c>
      <c r="M56" s="679">
        <v>63246</v>
      </c>
      <c r="N56" s="678">
        <v>73459</v>
      </c>
      <c r="O56" s="256">
        <f t="shared" si="18"/>
        <v>133007</v>
      </c>
      <c r="P56" s="89">
        <f t="shared" si="19"/>
        <v>4433.5666666666666</v>
      </c>
      <c r="Q56" s="257">
        <f t="shared" si="20"/>
        <v>153367</v>
      </c>
      <c r="R56" s="79">
        <f t="shared" si="3"/>
        <v>5112.2333333333336</v>
      </c>
      <c r="S56" s="78">
        <v>6288</v>
      </c>
      <c r="T56" s="678">
        <v>6444</v>
      </c>
      <c r="U56" s="256">
        <f t="shared" si="21"/>
        <v>133007</v>
      </c>
      <c r="V56" s="434">
        <f t="shared" si="22"/>
        <v>153367</v>
      </c>
      <c r="W56" s="78"/>
      <c r="X56" s="675"/>
      <c r="Y56" s="78"/>
      <c r="Z56" s="675"/>
      <c r="AA56" s="78"/>
      <c r="AB56" s="675"/>
      <c r="AC56" s="78"/>
      <c r="AD56" s="675"/>
      <c r="AE56" s="256">
        <f t="shared" si="23"/>
        <v>0</v>
      </c>
      <c r="AF56" s="89">
        <f t="shared" si="7"/>
        <v>0</v>
      </c>
      <c r="AG56" s="257">
        <f t="shared" si="24"/>
        <v>0</v>
      </c>
      <c r="AH56" s="79">
        <f t="shared" si="9"/>
        <v>0</v>
      </c>
      <c r="AI56" s="78"/>
      <c r="AJ56" s="675"/>
      <c r="AK56" s="256">
        <f t="shared" si="25"/>
        <v>0</v>
      </c>
      <c r="AL56" s="434">
        <f t="shared" si="26"/>
        <v>0</v>
      </c>
      <c r="AM56" s="78"/>
      <c r="AN56" s="675"/>
      <c r="AO56" s="78"/>
      <c r="AP56" s="678"/>
      <c r="AQ56" s="78"/>
      <c r="AR56" s="678"/>
      <c r="AS56" s="78"/>
      <c r="AT56" s="678"/>
      <c r="AU56" s="258">
        <f t="shared" si="12"/>
        <v>0</v>
      </c>
      <c r="AV56" s="89">
        <f t="shared" si="13"/>
        <v>0</v>
      </c>
      <c r="AW56" s="257">
        <f t="shared" si="14"/>
        <v>0</v>
      </c>
      <c r="AX56" s="79">
        <f t="shared" si="15"/>
        <v>0</v>
      </c>
      <c r="AY56" s="259">
        <f t="shared" si="27"/>
        <v>4433.5666666666666</v>
      </c>
      <c r="AZ56" s="79">
        <f t="shared" si="28"/>
        <v>5112.2333333333336</v>
      </c>
      <c r="BA56" s="680"/>
    </row>
    <row r="57" spans="1:53">
      <c r="A57" s="276" t="s">
        <v>727</v>
      </c>
      <c r="B57" s="466" t="s">
        <v>740</v>
      </c>
      <c r="C57" s="276">
        <v>107327</v>
      </c>
      <c r="D57" s="155">
        <v>10</v>
      </c>
      <c r="E57" s="148" t="s">
        <v>393</v>
      </c>
      <c r="F57" s="149"/>
      <c r="G57" s="78"/>
      <c r="H57" s="675"/>
      <c r="I57" s="78">
        <v>14895</v>
      </c>
      <c r="J57" s="678">
        <v>17487</v>
      </c>
      <c r="K57" s="679">
        <v>3839</v>
      </c>
      <c r="L57" s="678">
        <v>5308</v>
      </c>
      <c r="M57" s="679">
        <v>17242</v>
      </c>
      <c r="N57" s="678">
        <v>19934</v>
      </c>
      <c r="O57" s="256">
        <f t="shared" si="18"/>
        <v>35976</v>
      </c>
      <c r="P57" s="89">
        <f t="shared" si="19"/>
        <v>1199.2</v>
      </c>
      <c r="Q57" s="257">
        <f t="shared" si="20"/>
        <v>42729</v>
      </c>
      <c r="R57" s="79">
        <f t="shared" si="3"/>
        <v>1424.3</v>
      </c>
      <c r="S57" s="78">
        <v>1801</v>
      </c>
      <c r="T57" s="678">
        <v>1862</v>
      </c>
      <c r="U57" s="256">
        <f t="shared" si="21"/>
        <v>35976</v>
      </c>
      <c r="V57" s="434">
        <f t="shared" si="22"/>
        <v>42729</v>
      </c>
      <c r="W57" s="78"/>
      <c r="X57" s="675"/>
      <c r="Y57" s="78"/>
      <c r="Z57" s="675"/>
      <c r="AA57" s="78"/>
      <c r="AB57" s="675"/>
      <c r="AC57" s="78"/>
      <c r="AD57" s="675"/>
      <c r="AE57" s="256">
        <f t="shared" si="23"/>
        <v>0</v>
      </c>
      <c r="AF57" s="89">
        <f t="shared" si="7"/>
        <v>0</v>
      </c>
      <c r="AG57" s="257">
        <f t="shared" si="24"/>
        <v>0</v>
      </c>
      <c r="AH57" s="79">
        <f t="shared" si="9"/>
        <v>0</v>
      </c>
      <c r="AI57" s="78"/>
      <c r="AJ57" s="675"/>
      <c r="AK57" s="256">
        <f t="shared" si="25"/>
        <v>0</v>
      </c>
      <c r="AL57" s="434">
        <f t="shared" si="26"/>
        <v>0</v>
      </c>
      <c r="AM57" s="78"/>
      <c r="AN57" s="675"/>
      <c r="AO57" s="78"/>
      <c r="AP57" s="678"/>
      <c r="AQ57" s="78"/>
      <c r="AR57" s="678"/>
      <c r="AS57" s="78"/>
      <c r="AT57" s="678"/>
      <c r="AU57" s="258">
        <f t="shared" si="12"/>
        <v>0</v>
      </c>
      <c r="AV57" s="89">
        <f t="shared" si="13"/>
        <v>0</v>
      </c>
      <c r="AW57" s="257">
        <f t="shared" si="14"/>
        <v>0</v>
      </c>
      <c r="AX57" s="79">
        <f t="shared" si="15"/>
        <v>0</v>
      </c>
      <c r="AY57" s="259">
        <f t="shared" si="27"/>
        <v>1199.2</v>
      </c>
      <c r="AZ57" s="79">
        <f t="shared" si="28"/>
        <v>1424.3</v>
      </c>
      <c r="BA57" s="680"/>
    </row>
    <row r="58" spans="1:53">
      <c r="A58" s="276" t="s">
        <v>727</v>
      </c>
      <c r="B58" s="466" t="s">
        <v>741</v>
      </c>
      <c r="C58" s="276">
        <v>420538</v>
      </c>
      <c r="D58" s="155">
        <v>10</v>
      </c>
      <c r="E58" s="148" t="s">
        <v>393</v>
      </c>
      <c r="F58" s="149"/>
      <c r="G58" s="78"/>
      <c r="H58" s="675"/>
      <c r="I58" s="78">
        <v>11855</v>
      </c>
      <c r="J58" s="678">
        <v>12866</v>
      </c>
      <c r="K58" s="679">
        <v>2856</v>
      </c>
      <c r="L58" s="678">
        <v>2844</v>
      </c>
      <c r="M58" s="679">
        <v>13187</v>
      </c>
      <c r="N58" s="678">
        <v>16414</v>
      </c>
      <c r="O58" s="256">
        <f t="shared" si="18"/>
        <v>27898</v>
      </c>
      <c r="P58" s="89">
        <f t="shared" si="19"/>
        <v>929.93333333333328</v>
      </c>
      <c r="Q58" s="257">
        <f t="shared" si="20"/>
        <v>32124</v>
      </c>
      <c r="R58" s="79">
        <f t="shared" si="3"/>
        <v>1070.8</v>
      </c>
      <c r="S58" s="78">
        <v>778</v>
      </c>
      <c r="T58" s="678">
        <v>683</v>
      </c>
      <c r="U58" s="256">
        <f t="shared" si="21"/>
        <v>27898</v>
      </c>
      <c r="V58" s="434">
        <f t="shared" si="22"/>
        <v>32124</v>
      </c>
      <c r="W58" s="78"/>
      <c r="X58" s="675"/>
      <c r="Y58" s="78"/>
      <c r="Z58" s="675"/>
      <c r="AA58" s="78"/>
      <c r="AB58" s="675"/>
      <c r="AC58" s="78"/>
      <c r="AD58" s="675"/>
      <c r="AE58" s="256">
        <f t="shared" si="23"/>
        <v>0</v>
      </c>
      <c r="AF58" s="89">
        <f t="shared" si="7"/>
        <v>0</v>
      </c>
      <c r="AG58" s="257">
        <f t="shared" si="24"/>
        <v>0</v>
      </c>
      <c r="AH58" s="79">
        <f t="shared" si="9"/>
        <v>0</v>
      </c>
      <c r="AI58" s="78"/>
      <c r="AJ58" s="675"/>
      <c r="AK58" s="256">
        <f t="shared" si="25"/>
        <v>0</v>
      </c>
      <c r="AL58" s="434">
        <f t="shared" si="26"/>
        <v>0</v>
      </c>
      <c r="AM58" s="78"/>
      <c r="AN58" s="675"/>
      <c r="AO58" s="78"/>
      <c r="AP58" s="678"/>
      <c r="AQ58" s="78"/>
      <c r="AR58" s="678"/>
      <c r="AS58" s="78"/>
      <c r="AT58" s="678"/>
      <c r="AU58" s="258">
        <f t="shared" si="12"/>
        <v>0</v>
      </c>
      <c r="AV58" s="89">
        <f t="shared" si="13"/>
        <v>0</v>
      </c>
      <c r="AW58" s="257">
        <f t="shared" si="14"/>
        <v>0</v>
      </c>
      <c r="AX58" s="79">
        <f t="shared" si="15"/>
        <v>0</v>
      </c>
      <c r="AY58" s="259">
        <f t="shared" si="27"/>
        <v>929.93333333333328</v>
      </c>
      <c r="AZ58" s="79">
        <f t="shared" si="28"/>
        <v>1070.8</v>
      </c>
      <c r="BA58" s="680"/>
    </row>
    <row r="59" spans="1:53">
      <c r="A59" s="276" t="s">
        <v>727</v>
      </c>
      <c r="B59" s="466" t="s">
        <v>742</v>
      </c>
      <c r="C59" s="276">
        <v>440402</v>
      </c>
      <c r="D59" s="155">
        <v>10</v>
      </c>
      <c r="E59" s="148" t="s">
        <v>393</v>
      </c>
      <c r="F59" s="149"/>
      <c r="G59" s="78"/>
      <c r="H59" s="675"/>
      <c r="I59" s="78">
        <v>10644</v>
      </c>
      <c r="J59" s="678">
        <v>16020</v>
      </c>
      <c r="K59" s="679">
        <v>5542</v>
      </c>
      <c r="L59" s="678">
        <v>5909</v>
      </c>
      <c r="M59" s="679">
        <v>16416</v>
      </c>
      <c r="N59" s="678">
        <v>19125</v>
      </c>
      <c r="O59" s="256">
        <f t="shared" si="18"/>
        <v>32602</v>
      </c>
      <c r="P59" s="89">
        <f t="shared" si="19"/>
        <v>1086.7333333333333</v>
      </c>
      <c r="Q59" s="257">
        <f t="shared" si="20"/>
        <v>41054</v>
      </c>
      <c r="R59" s="79">
        <f t="shared" si="3"/>
        <v>1368.4666666666667</v>
      </c>
      <c r="S59" s="78">
        <v>3336</v>
      </c>
      <c r="T59" s="678">
        <v>5690</v>
      </c>
      <c r="U59" s="256">
        <f t="shared" si="21"/>
        <v>32602</v>
      </c>
      <c r="V59" s="434">
        <f t="shared" si="22"/>
        <v>41054</v>
      </c>
      <c r="W59" s="78"/>
      <c r="X59" s="675"/>
      <c r="Y59" s="78"/>
      <c r="Z59" s="675"/>
      <c r="AA59" s="78"/>
      <c r="AB59" s="675"/>
      <c r="AC59" s="78"/>
      <c r="AD59" s="675"/>
      <c r="AE59" s="256">
        <f t="shared" si="23"/>
        <v>0</v>
      </c>
      <c r="AF59" s="89">
        <f t="shared" si="7"/>
        <v>0</v>
      </c>
      <c r="AG59" s="257">
        <f t="shared" si="24"/>
        <v>0</v>
      </c>
      <c r="AH59" s="79">
        <f t="shared" si="9"/>
        <v>0</v>
      </c>
      <c r="AI59" s="78"/>
      <c r="AJ59" s="675"/>
      <c r="AK59" s="256">
        <f t="shared" si="25"/>
        <v>0</v>
      </c>
      <c r="AL59" s="434">
        <f t="shared" si="26"/>
        <v>0</v>
      </c>
      <c r="AM59" s="78"/>
      <c r="AN59" s="675"/>
      <c r="AO59" s="78"/>
      <c r="AP59" s="678"/>
      <c r="AQ59" s="78"/>
      <c r="AR59" s="678"/>
      <c r="AS59" s="78"/>
      <c r="AT59" s="678"/>
      <c r="AU59" s="258">
        <f t="shared" si="12"/>
        <v>0</v>
      </c>
      <c r="AV59" s="89">
        <f t="shared" si="13"/>
        <v>0</v>
      </c>
      <c r="AW59" s="257">
        <f t="shared" si="14"/>
        <v>0</v>
      </c>
      <c r="AX59" s="79">
        <f t="shared" si="15"/>
        <v>0</v>
      </c>
      <c r="AY59" s="259">
        <f t="shared" si="27"/>
        <v>1086.7333333333333</v>
      </c>
      <c r="AZ59" s="79">
        <f t="shared" si="28"/>
        <v>1368.4666666666667</v>
      </c>
      <c r="BA59" s="680"/>
    </row>
    <row r="60" spans="1:53">
      <c r="A60" s="276" t="s">
        <v>727</v>
      </c>
      <c r="B60" s="466" t="s">
        <v>743</v>
      </c>
      <c r="C60" s="276">
        <v>106625</v>
      </c>
      <c r="D60" s="155">
        <v>10</v>
      </c>
      <c r="E60" s="148" t="s">
        <v>393</v>
      </c>
      <c r="F60" s="149"/>
      <c r="G60" s="78"/>
      <c r="H60" s="675"/>
      <c r="I60" s="78">
        <v>21310</v>
      </c>
      <c r="J60" s="678">
        <v>21229</v>
      </c>
      <c r="K60" s="679">
        <v>5452</v>
      </c>
      <c r="L60" s="678">
        <v>4799</v>
      </c>
      <c r="M60" s="679">
        <v>21251</v>
      </c>
      <c r="N60" s="678">
        <v>25166</v>
      </c>
      <c r="O60" s="256">
        <f t="shared" si="18"/>
        <v>48013</v>
      </c>
      <c r="P60" s="89">
        <f t="shared" si="19"/>
        <v>1600.4333333333334</v>
      </c>
      <c r="Q60" s="257">
        <f t="shared" si="20"/>
        <v>51194</v>
      </c>
      <c r="R60" s="79">
        <f t="shared" si="3"/>
        <v>1706.4666666666667</v>
      </c>
      <c r="S60" s="78">
        <v>1295</v>
      </c>
      <c r="T60" s="678">
        <v>1656</v>
      </c>
      <c r="U60" s="256">
        <f t="shared" si="21"/>
        <v>48013</v>
      </c>
      <c r="V60" s="434">
        <f t="shared" si="22"/>
        <v>51194</v>
      </c>
      <c r="W60" s="78"/>
      <c r="X60" s="675"/>
      <c r="Y60" s="78"/>
      <c r="Z60" s="675"/>
      <c r="AA60" s="78"/>
      <c r="AB60" s="675"/>
      <c r="AC60" s="78"/>
      <c r="AD60" s="675"/>
      <c r="AE60" s="256">
        <f t="shared" si="23"/>
        <v>0</v>
      </c>
      <c r="AF60" s="89">
        <f t="shared" si="7"/>
        <v>0</v>
      </c>
      <c r="AG60" s="257">
        <f t="shared" si="24"/>
        <v>0</v>
      </c>
      <c r="AH60" s="79">
        <f t="shared" si="9"/>
        <v>0</v>
      </c>
      <c r="AI60" s="78"/>
      <c r="AJ60" s="675"/>
      <c r="AK60" s="256">
        <f t="shared" si="25"/>
        <v>0</v>
      </c>
      <c r="AL60" s="434">
        <f t="shared" si="26"/>
        <v>0</v>
      </c>
      <c r="AM60" s="78"/>
      <c r="AN60" s="675"/>
      <c r="AO60" s="78"/>
      <c r="AP60" s="678"/>
      <c r="AQ60" s="78"/>
      <c r="AR60" s="678"/>
      <c r="AS60" s="78"/>
      <c r="AT60" s="678"/>
      <c r="AU60" s="258">
        <f t="shared" si="12"/>
        <v>0</v>
      </c>
      <c r="AV60" s="89">
        <f t="shared" si="13"/>
        <v>0</v>
      </c>
      <c r="AW60" s="257">
        <f t="shared" si="14"/>
        <v>0</v>
      </c>
      <c r="AX60" s="79">
        <f t="shared" si="15"/>
        <v>0</v>
      </c>
      <c r="AY60" s="259">
        <f t="shared" si="27"/>
        <v>1600.4333333333334</v>
      </c>
      <c r="AZ60" s="79">
        <f t="shared" si="28"/>
        <v>1706.4666666666667</v>
      </c>
      <c r="BA60" s="680"/>
    </row>
    <row r="61" spans="1:53">
      <c r="A61" s="276" t="s">
        <v>727</v>
      </c>
      <c r="B61" s="466" t="s">
        <v>744</v>
      </c>
      <c r="C61" s="276">
        <v>106795</v>
      </c>
      <c r="D61" s="155">
        <v>10</v>
      </c>
      <c r="E61" s="148" t="s">
        <v>393</v>
      </c>
      <c r="F61" s="149"/>
      <c r="G61" s="78"/>
      <c r="H61" s="675"/>
      <c r="I61" s="78">
        <v>11464</v>
      </c>
      <c r="J61" s="678">
        <v>11411</v>
      </c>
      <c r="K61" s="679">
        <v>3464</v>
      </c>
      <c r="L61" s="678">
        <v>3337</v>
      </c>
      <c r="M61" s="679">
        <v>12067</v>
      </c>
      <c r="N61" s="678">
        <v>12661</v>
      </c>
      <c r="O61" s="256">
        <f t="shared" si="18"/>
        <v>26995</v>
      </c>
      <c r="P61" s="89">
        <f t="shared" si="19"/>
        <v>899.83333333333337</v>
      </c>
      <c r="Q61" s="257">
        <f t="shared" si="20"/>
        <v>27409</v>
      </c>
      <c r="R61" s="79">
        <f t="shared" si="3"/>
        <v>913.63333333333333</v>
      </c>
      <c r="S61" s="78">
        <v>2680</v>
      </c>
      <c r="T61" s="678">
        <v>2925</v>
      </c>
      <c r="U61" s="256">
        <f t="shared" si="21"/>
        <v>26995</v>
      </c>
      <c r="V61" s="434">
        <f t="shared" si="22"/>
        <v>27409</v>
      </c>
      <c r="W61" s="78"/>
      <c r="X61" s="675"/>
      <c r="Y61" s="78"/>
      <c r="Z61" s="675"/>
      <c r="AA61" s="78"/>
      <c r="AB61" s="675"/>
      <c r="AC61" s="78"/>
      <c r="AD61" s="675"/>
      <c r="AE61" s="256">
        <f t="shared" si="23"/>
        <v>0</v>
      </c>
      <c r="AF61" s="89">
        <f t="shared" si="7"/>
        <v>0</v>
      </c>
      <c r="AG61" s="257">
        <f t="shared" si="24"/>
        <v>0</v>
      </c>
      <c r="AH61" s="79">
        <f t="shared" si="9"/>
        <v>0</v>
      </c>
      <c r="AI61" s="78"/>
      <c r="AJ61" s="675"/>
      <c r="AK61" s="256">
        <f t="shared" si="25"/>
        <v>0</v>
      </c>
      <c r="AL61" s="434">
        <f t="shared" si="26"/>
        <v>0</v>
      </c>
      <c r="AM61" s="78"/>
      <c r="AN61" s="675"/>
      <c r="AO61" s="78"/>
      <c r="AP61" s="678"/>
      <c r="AQ61" s="78"/>
      <c r="AR61" s="678"/>
      <c r="AS61" s="78"/>
      <c r="AT61" s="678"/>
      <c r="AU61" s="258">
        <f t="shared" si="12"/>
        <v>0</v>
      </c>
      <c r="AV61" s="89">
        <f t="shared" si="13"/>
        <v>0</v>
      </c>
      <c r="AW61" s="257">
        <f t="shared" si="14"/>
        <v>0</v>
      </c>
      <c r="AX61" s="79">
        <f t="shared" si="15"/>
        <v>0</v>
      </c>
      <c r="AY61" s="259">
        <f t="shared" si="27"/>
        <v>899.83333333333337</v>
      </c>
      <c r="AZ61" s="79">
        <f t="shared" si="28"/>
        <v>913.63333333333333</v>
      </c>
      <c r="BA61" s="680"/>
    </row>
    <row r="62" spans="1:53">
      <c r="A62" s="276" t="s">
        <v>727</v>
      </c>
      <c r="B62" s="466" t="s">
        <v>745</v>
      </c>
      <c r="C62" s="276">
        <v>106883</v>
      </c>
      <c r="D62" s="155">
        <v>10</v>
      </c>
      <c r="E62" s="148" t="s">
        <v>393</v>
      </c>
      <c r="F62" s="149"/>
      <c r="G62" s="78"/>
      <c r="H62" s="675"/>
      <c r="I62" s="78">
        <v>13859</v>
      </c>
      <c r="J62" s="678">
        <v>13021</v>
      </c>
      <c r="K62" s="679">
        <v>4137</v>
      </c>
      <c r="L62" s="678">
        <v>3711</v>
      </c>
      <c r="M62" s="679">
        <v>14072</v>
      </c>
      <c r="N62" s="678">
        <v>15032</v>
      </c>
      <c r="O62" s="256">
        <f t="shared" si="18"/>
        <v>32068</v>
      </c>
      <c r="P62" s="89">
        <f t="shared" si="19"/>
        <v>1068.9333333333334</v>
      </c>
      <c r="Q62" s="257">
        <f t="shared" si="20"/>
        <v>31764</v>
      </c>
      <c r="R62" s="79">
        <f t="shared" si="3"/>
        <v>1058.8</v>
      </c>
      <c r="S62" s="78">
        <v>1812</v>
      </c>
      <c r="T62" s="678">
        <v>1214</v>
      </c>
      <c r="U62" s="256">
        <f t="shared" si="21"/>
        <v>32068</v>
      </c>
      <c r="V62" s="434">
        <f t="shared" si="22"/>
        <v>31764</v>
      </c>
      <c r="W62" s="78"/>
      <c r="X62" s="675"/>
      <c r="Y62" s="78"/>
      <c r="Z62" s="675"/>
      <c r="AA62" s="78"/>
      <c r="AB62" s="675"/>
      <c r="AC62" s="78"/>
      <c r="AD62" s="675"/>
      <c r="AE62" s="256">
        <f t="shared" si="23"/>
        <v>0</v>
      </c>
      <c r="AF62" s="89">
        <f t="shared" si="7"/>
        <v>0</v>
      </c>
      <c r="AG62" s="257">
        <f t="shared" si="24"/>
        <v>0</v>
      </c>
      <c r="AH62" s="79">
        <f t="shared" si="9"/>
        <v>0</v>
      </c>
      <c r="AI62" s="78"/>
      <c r="AJ62" s="675"/>
      <c r="AK62" s="256">
        <f t="shared" si="25"/>
        <v>0</v>
      </c>
      <c r="AL62" s="434">
        <f t="shared" si="26"/>
        <v>0</v>
      </c>
      <c r="AM62" s="78"/>
      <c r="AN62" s="675"/>
      <c r="AO62" s="78"/>
      <c r="AP62" s="678"/>
      <c r="AQ62" s="78"/>
      <c r="AR62" s="678"/>
      <c r="AS62" s="78"/>
      <c r="AT62" s="678"/>
      <c r="AU62" s="258">
        <f t="shared" si="12"/>
        <v>0</v>
      </c>
      <c r="AV62" s="89">
        <f t="shared" si="13"/>
        <v>0</v>
      </c>
      <c r="AW62" s="257">
        <f t="shared" si="14"/>
        <v>0</v>
      </c>
      <c r="AX62" s="79">
        <f t="shared" si="15"/>
        <v>0</v>
      </c>
      <c r="AY62" s="259">
        <f t="shared" si="27"/>
        <v>1068.9333333333334</v>
      </c>
      <c r="AZ62" s="79">
        <f t="shared" si="28"/>
        <v>1058.8</v>
      </c>
      <c r="BA62" s="680"/>
    </row>
    <row r="63" spans="1:53">
      <c r="A63" s="276" t="s">
        <v>727</v>
      </c>
      <c r="B63" s="466" t="s">
        <v>746</v>
      </c>
      <c r="C63" s="276">
        <v>107318</v>
      </c>
      <c r="D63" s="155">
        <v>10</v>
      </c>
      <c r="E63" s="148" t="s">
        <v>393</v>
      </c>
      <c r="F63" s="149"/>
      <c r="G63" s="78"/>
      <c r="H63" s="675"/>
      <c r="I63" s="78">
        <v>11770</v>
      </c>
      <c r="J63" s="678">
        <v>13833</v>
      </c>
      <c r="K63" s="679">
        <v>3119</v>
      </c>
      <c r="L63" s="678">
        <v>3998</v>
      </c>
      <c r="M63" s="679">
        <v>14077</v>
      </c>
      <c r="N63" s="678">
        <v>18817</v>
      </c>
      <c r="O63" s="256">
        <f t="shared" si="18"/>
        <v>28966</v>
      </c>
      <c r="P63" s="89">
        <f t="shared" si="19"/>
        <v>965.5333333333333</v>
      </c>
      <c r="Q63" s="257">
        <f t="shared" si="20"/>
        <v>36648</v>
      </c>
      <c r="R63" s="79">
        <f t="shared" si="3"/>
        <v>1221.5999999999999</v>
      </c>
      <c r="S63" s="78">
        <v>3457</v>
      </c>
      <c r="T63" s="678">
        <v>3660</v>
      </c>
      <c r="U63" s="256">
        <f t="shared" si="21"/>
        <v>28966</v>
      </c>
      <c r="V63" s="434">
        <f t="shared" si="22"/>
        <v>36648</v>
      </c>
      <c r="W63" s="78"/>
      <c r="X63" s="675"/>
      <c r="Y63" s="78"/>
      <c r="Z63" s="675"/>
      <c r="AA63" s="78"/>
      <c r="AB63" s="675"/>
      <c r="AC63" s="78"/>
      <c r="AD63" s="675"/>
      <c r="AE63" s="256">
        <f t="shared" si="23"/>
        <v>0</v>
      </c>
      <c r="AF63" s="89">
        <f t="shared" si="7"/>
        <v>0</v>
      </c>
      <c r="AG63" s="257">
        <f t="shared" si="24"/>
        <v>0</v>
      </c>
      <c r="AH63" s="79">
        <f t="shared" si="9"/>
        <v>0</v>
      </c>
      <c r="AI63" s="78"/>
      <c r="AJ63" s="675"/>
      <c r="AK63" s="256">
        <f t="shared" si="25"/>
        <v>0</v>
      </c>
      <c r="AL63" s="434">
        <f t="shared" si="26"/>
        <v>0</v>
      </c>
      <c r="AM63" s="78"/>
      <c r="AN63" s="675"/>
      <c r="AO63" s="78"/>
      <c r="AP63" s="678"/>
      <c r="AQ63" s="78"/>
      <c r="AR63" s="678"/>
      <c r="AS63" s="78"/>
      <c r="AT63" s="678"/>
      <c r="AU63" s="258">
        <f t="shared" si="12"/>
        <v>0</v>
      </c>
      <c r="AV63" s="89">
        <f t="shared" si="13"/>
        <v>0</v>
      </c>
      <c r="AW63" s="257">
        <f t="shared" si="14"/>
        <v>0</v>
      </c>
      <c r="AX63" s="79">
        <f t="shared" si="15"/>
        <v>0</v>
      </c>
      <c r="AY63" s="259">
        <f t="shared" si="27"/>
        <v>965.5333333333333</v>
      </c>
      <c r="AZ63" s="79">
        <f t="shared" si="28"/>
        <v>1221.5999999999999</v>
      </c>
      <c r="BA63" s="680"/>
    </row>
    <row r="64" spans="1:53">
      <c r="A64" s="276" t="s">
        <v>727</v>
      </c>
      <c r="B64" s="157" t="s">
        <v>747</v>
      </c>
      <c r="C64" s="276">
        <v>106980</v>
      </c>
      <c r="D64" s="155">
        <v>10</v>
      </c>
      <c r="E64" s="148" t="s">
        <v>393</v>
      </c>
      <c r="F64" s="149"/>
      <c r="G64" s="78"/>
      <c r="H64" s="675"/>
      <c r="I64" s="78">
        <v>26175</v>
      </c>
      <c r="J64" s="678">
        <v>30144</v>
      </c>
      <c r="K64" s="679">
        <v>6144</v>
      </c>
      <c r="L64" s="678">
        <v>6424</v>
      </c>
      <c r="M64" s="679">
        <v>31690</v>
      </c>
      <c r="N64" s="678">
        <v>34829</v>
      </c>
      <c r="O64" s="256">
        <f t="shared" si="18"/>
        <v>64009</v>
      </c>
      <c r="P64" s="89">
        <f t="shared" si="19"/>
        <v>2133.6333333333332</v>
      </c>
      <c r="Q64" s="257">
        <f t="shared" si="20"/>
        <v>71397</v>
      </c>
      <c r="R64" s="79">
        <f t="shared" si="3"/>
        <v>2379.9</v>
      </c>
      <c r="S64" s="78">
        <v>5237</v>
      </c>
      <c r="T64" s="678">
        <v>3645</v>
      </c>
      <c r="U64" s="256">
        <f t="shared" si="21"/>
        <v>64009</v>
      </c>
      <c r="V64" s="434">
        <f t="shared" si="22"/>
        <v>71397</v>
      </c>
      <c r="W64" s="78"/>
      <c r="X64" s="675"/>
      <c r="Y64" s="78"/>
      <c r="Z64" s="675"/>
      <c r="AA64" s="78"/>
      <c r="AB64" s="675"/>
      <c r="AC64" s="78"/>
      <c r="AD64" s="675"/>
      <c r="AE64" s="256">
        <f t="shared" si="23"/>
        <v>0</v>
      </c>
      <c r="AF64" s="89">
        <f t="shared" si="7"/>
        <v>0</v>
      </c>
      <c r="AG64" s="257">
        <f t="shared" si="24"/>
        <v>0</v>
      </c>
      <c r="AH64" s="79">
        <f t="shared" si="9"/>
        <v>0</v>
      </c>
      <c r="AI64" s="78"/>
      <c r="AJ64" s="675"/>
      <c r="AK64" s="256">
        <f t="shared" si="25"/>
        <v>0</v>
      </c>
      <c r="AL64" s="434">
        <f t="shared" si="26"/>
        <v>0</v>
      </c>
      <c r="AM64" s="78"/>
      <c r="AN64" s="675"/>
      <c r="AO64" s="78"/>
      <c r="AP64" s="678"/>
      <c r="AQ64" s="78"/>
      <c r="AR64" s="678"/>
      <c r="AS64" s="78"/>
      <c r="AT64" s="678"/>
      <c r="AU64" s="258">
        <f t="shared" si="12"/>
        <v>0</v>
      </c>
      <c r="AV64" s="89">
        <f t="shared" si="13"/>
        <v>0</v>
      </c>
      <c r="AW64" s="257">
        <f t="shared" si="14"/>
        <v>0</v>
      </c>
      <c r="AX64" s="79">
        <f t="shared" si="15"/>
        <v>0</v>
      </c>
      <c r="AY64" s="259">
        <f t="shared" si="27"/>
        <v>2133.6333333333332</v>
      </c>
      <c r="AZ64" s="79">
        <f t="shared" si="28"/>
        <v>2379.9</v>
      </c>
      <c r="BA64" s="680"/>
    </row>
    <row r="65" spans="1:53">
      <c r="A65" s="276" t="s">
        <v>727</v>
      </c>
      <c r="B65" s="466" t="s">
        <v>748</v>
      </c>
      <c r="C65" s="276">
        <v>107460</v>
      </c>
      <c r="D65" s="155">
        <v>10</v>
      </c>
      <c r="E65" s="148" t="s">
        <v>393</v>
      </c>
      <c r="F65" s="149"/>
      <c r="G65" s="78"/>
      <c r="H65" s="675"/>
      <c r="I65" s="78">
        <v>21363</v>
      </c>
      <c r="J65" s="678">
        <v>22646</v>
      </c>
      <c r="K65" s="679">
        <v>2608</v>
      </c>
      <c r="L65" s="678">
        <v>3425</v>
      </c>
      <c r="M65" s="679">
        <v>23654</v>
      </c>
      <c r="N65" s="678">
        <v>27299</v>
      </c>
      <c r="O65" s="256">
        <f t="shared" si="18"/>
        <v>47625</v>
      </c>
      <c r="P65" s="89">
        <f t="shared" si="19"/>
        <v>1587.5</v>
      </c>
      <c r="Q65" s="257">
        <f t="shared" si="20"/>
        <v>53370</v>
      </c>
      <c r="R65" s="79">
        <f t="shared" si="3"/>
        <v>1779</v>
      </c>
      <c r="S65" s="78">
        <v>3049</v>
      </c>
      <c r="T65" s="678">
        <v>2268</v>
      </c>
      <c r="U65" s="256">
        <f t="shared" si="21"/>
        <v>47625</v>
      </c>
      <c r="V65" s="434">
        <f t="shared" si="22"/>
        <v>53370</v>
      </c>
      <c r="W65" s="78"/>
      <c r="X65" s="675"/>
      <c r="Y65" s="78"/>
      <c r="Z65" s="675"/>
      <c r="AA65" s="78"/>
      <c r="AB65" s="675"/>
      <c r="AC65" s="78"/>
      <c r="AD65" s="675"/>
      <c r="AE65" s="256">
        <f t="shared" si="23"/>
        <v>0</v>
      </c>
      <c r="AF65" s="89">
        <f t="shared" si="7"/>
        <v>0</v>
      </c>
      <c r="AG65" s="257">
        <f t="shared" si="24"/>
        <v>0</v>
      </c>
      <c r="AH65" s="79">
        <f t="shared" si="9"/>
        <v>0</v>
      </c>
      <c r="AI65" s="78"/>
      <c r="AJ65" s="675"/>
      <c r="AK65" s="256">
        <f t="shared" si="25"/>
        <v>0</v>
      </c>
      <c r="AL65" s="434">
        <f t="shared" si="26"/>
        <v>0</v>
      </c>
      <c r="AM65" s="78"/>
      <c r="AN65" s="675"/>
      <c r="AO65" s="78"/>
      <c r="AP65" s="678"/>
      <c r="AQ65" s="78"/>
      <c r="AR65" s="678"/>
      <c r="AS65" s="78"/>
      <c r="AT65" s="678"/>
      <c r="AU65" s="258">
        <f t="shared" si="12"/>
        <v>0</v>
      </c>
      <c r="AV65" s="89">
        <f t="shared" si="13"/>
        <v>0</v>
      </c>
      <c r="AW65" s="257">
        <f t="shared" si="14"/>
        <v>0</v>
      </c>
      <c r="AX65" s="79">
        <f t="shared" si="15"/>
        <v>0</v>
      </c>
      <c r="AY65" s="259">
        <f t="shared" si="27"/>
        <v>1587.5</v>
      </c>
      <c r="AZ65" s="79">
        <f t="shared" si="28"/>
        <v>1779</v>
      </c>
      <c r="BA65" s="680"/>
    </row>
    <row r="66" spans="1:53">
      <c r="A66" s="276" t="s">
        <v>727</v>
      </c>
      <c r="B66" s="466" t="s">
        <v>749</v>
      </c>
      <c r="C66" s="276">
        <v>107521</v>
      </c>
      <c r="D66" s="155">
        <v>10</v>
      </c>
      <c r="E66" s="148" t="s">
        <v>393</v>
      </c>
      <c r="F66" s="149"/>
      <c r="G66" s="78"/>
      <c r="H66" s="675"/>
      <c r="I66" s="78">
        <v>11749</v>
      </c>
      <c r="J66" s="678">
        <v>12191</v>
      </c>
      <c r="K66" s="679">
        <v>2766</v>
      </c>
      <c r="L66" s="678">
        <v>2963</v>
      </c>
      <c r="M66" s="679">
        <v>12517</v>
      </c>
      <c r="N66" s="678">
        <v>13365</v>
      </c>
      <c r="O66" s="256">
        <f t="shared" si="18"/>
        <v>27032</v>
      </c>
      <c r="P66" s="89">
        <f t="shared" si="19"/>
        <v>901.06666666666672</v>
      </c>
      <c r="Q66" s="257">
        <f t="shared" si="20"/>
        <v>28519</v>
      </c>
      <c r="R66" s="79">
        <f t="shared" si="3"/>
        <v>950.63333333333333</v>
      </c>
      <c r="S66" s="78">
        <v>4307</v>
      </c>
      <c r="T66" s="678">
        <v>4589</v>
      </c>
      <c r="U66" s="256">
        <f t="shared" si="21"/>
        <v>27032</v>
      </c>
      <c r="V66" s="434">
        <f t="shared" si="22"/>
        <v>28519</v>
      </c>
      <c r="W66" s="78"/>
      <c r="X66" s="675"/>
      <c r="Y66" s="78"/>
      <c r="Z66" s="675"/>
      <c r="AA66" s="78"/>
      <c r="AB66" s="675"/>
      <c r="AC66" s="78"/>
      <c r="AD66" s="675"/>
      <c r="AE66" s="256">
        <f t="shared" si="23"/>
        <v>0</v>
      </c>
      <c r="AF66" s="89">
        <f t="shared" si="7"/>
        <v>0</v>
      </c>
      <c r="AG66" s="257">
        <f t="shared" si="24"/>
        <v>0</v>
      </c>
      <c r="AH66" s="79">
        <f t="shared" si="9"/>
        <v>0</v>
      </c>
      <c r="AI66" s="78"/>
      <c r="AJ66" s="675"/>
      <c r="AK66" s="256">
        <f t="shared" si="25"/>
        <v>0</v>
      </c>
      <c r="AL66" s="434">
        <f t="shared" si="26"/>
        <v>0</v>
      </c>
      <c r="AM66" s="78"/>
      <c r="AN66" s="675"/>
      <c r="AO66" s="78"/>
      <c r="AP66" s="678"/>
      <c r="AQ66" s="78"/>
      <c r="AR66" s="678"/>
      <c r="AS66" s="78"/>
      <c r="AT66" s="678"/>
      <c r="AU66" s="258">
        <f t="shared" si="12"/>
        <v>0</v>
      </c>
      <c r="AV66" s="89">
        <f t="shared" si="13"/>
        <v>0</v>
      </c>
      <c r="AW66" s="257">
        <f t="shared" si="14"/>
        <v>0</v>
      </c>
      <c r="AX66" s="79">
        <f t="shared" si="15"/>
        <v>0</v>
      </c>
      <c r="AY66" s="259">
        <f t="shared" si="27"/>
        <v>901.06666666666672</v>
      </c>
      <c r="AZ66" s="79">
        <f t="shared" si="28"/>
        <v>950.63333333333333</v>
      </c>
      <c r="BA66" s="680"/>
    </row>
    <row r="67" spans="1:53">
      <c r="A67" s="276" t="s">
        <v>727</v>
      </c>
      <c r="B67" s="466" t="s">
        <v>750</v>
      </c>
      <c r="C67" s="276">
        <v>107549</v>
      </c>
      <c r="D67" s="155">
        <v>10</v>
      </c>
      <c r="E67" s="148" t="s">
        <v>393</v>
      </c>
      <c r="F67" s="149"/>
      <c r="G67" s="78"/>
      <c r="H67" s="675"/>
      <c r="I67" s="78">
        <v>11927</v>
      </c>
      <c r="J67" s="678">
        <v>12768</v>
      </c>
      <c r="K67" s="679">
        <v>2216</v>
      </c>
      <c r="L67" s="678">
        <v>2260</v>
      </c>
      <c r="M67" s="679">
        <v>12745</v>
      </c>
      <c r="N67" s="678">
        <v>13701</v>
      </c>
      <c r="O67" s="256">
        <f t="shared" si="18"/>
        <v>26888</v>
      </c>
      <c r="P67" s="89">
        <f t="shared" si="19"/>
        <v>896.26666666666665</v>
      </c>
      <c r="Q67" s="257">
        <f t="shared" si="20"/>
        <v>28729</v>
      </c>
      <c r="R67" s="79">
        <f t="shared" si="3"/>
        <v>957.63333333333333</v>
      </c>
      <c r="S67" s="78">
        <v>1376</v>
      </c>
      <c r="T67" s="678">
        <v>1469</v>
      </c>
      <c r="U67" s="256">
        <f t="shared" si="21"/>
        <v>26888</v>
      </c>
      <c r="V67" s="434">
        <f t="shared" si="22"/>
        <v>28729</v>
      </c>
      <c r="W67" s="78"/>
      <c r="X67" s="675"/>
      <c r="Y67" s="78"/>
      <c r="Z67" s="675"/>
      <c r="AA67" s="78"/>
      <c r="AB67" s="675"/>
      <c r="AC67" s="78"/>
      <c r="AD67" s="675"/>
      <c r="AE67" s="256">
        <f t="shared" si="23"/>
        <v>0</v>
      </c>
      <c r="AF67" s="89">
        <f t="shared" si="7"/>
        <v>0</v>
      </c>
      <c r="AG67" s="257">
        <f t="shared" si="24"/>
        <v>0</v>
      </c>
      <c r="AH67" s="79">
        <f t="shared" si="9"/>
        <v>0</v>
      </c>
      <c r="AI67" s="78"/>
      <c r="AJ67" s="675"/>
      <c r="AK67" s="256">
        <f t="shared" si="25"/>
        <v>0</v>
      </c>
      <c r="AL67" s="434">
        <f t="shared" si="26"/>
        <v>0</v>
      </c>
      <c r="AM67" s="78"/>
      <c r="AN67" s="675"/>
      <c r="AO67" s="78"/>
      <c r="AP67" s="678"/>
      <c r="AQ67" s="78"/>
      <c r="AR67" s="678"/>
      <c r="AS67" s="78"/>
      <c r="AT67" s="678"/>
      <c r="AU67" s="258">
        <f t="shared" si="12"/>
        <v>0</v>
      </c>
      <c r="AV67" s="89">
        <f t="shared" si="13"/>
        <v>0</v>
      </c>
      <c r="AW67" s="257">
        <f t="shared" si="14"/>
        <v>0</v>
      </c>
      <c r="AX67" s="79">
        <f t="shared" si="15"/>
        <v>0</v>
      </c>
      <c r="AY67" s="259">
        <f t="shared" si="27"/>
        <v>896.26666666666665</v>
      </c>
      <c r="AZ67" s="79">
        <f t="shared" si="28"/>
        <v>957.63333333333333</v>
      </c>
      <c r="BA67" s="680"/>
    </row>
    <row r="68" spans="1:53">
      <c r="A68" s="276" t="s">
        <v>727</v>
      </c>
      <c r="B68" s="466" t="s">
        <v>751</v>
      </c>
      <c r="C68" s="276">
        <v>107619</v>
      </c>
      <c r="D68" s="155">
        <v>10</v>
      </c>
      <c r="E68" s="148" t="s">
        <v>393</v>
      </c>
      <c r="F68" s="149"/>
      <c r="G68" s="78"/>
      <c r="H68" s="675"/>
      <c r="I68" s="78">
        <v>17293</v>
      </c>
      <c r="J68" s="678">
        <v>17514</v>
      </c>
      <c r="K68" s="679">
        <v>3290</v>
      </c>
      <c r="L68" s="678">
        <v>2998</v>
      </c>
      <c r="M68" s="679">
        <v>19483</v>
      </c>
      <c r="N68" s="678">
        <v>20403</v>
      </c>
      <c r="O68" s="256">
        <f t="shared" si="18"/>
        <v>40066</v>
      </c>
      <c r="P68" s="89">
        <f t="shared" si="19"/>
        <v>1335.5333333333333</v>
      </c>
      <c r="Q68" s="257">
        <f t="shared" si="20"/>
        <v>40915</v>
      </c>
      <c r="R68" s="79">
        <f t="shared" si="3"/>
        <v>1363.8333333333333</v>
      </c>
      <c r="S68" s="78">
        <v>7292</v>
      </c>
      <c r="T68" s="678">
        <v>6526</v>
      </c>
      <c r="U68" s="256">
        <f t="shared" si="21"/>
        <v>40066</v>
      </c>
      <c r="V68" s="434">
        <f t="shared" si="22"/>
        <v>40915</v>
      </c>
      <c r="W68" s="78"/>
      <c r="X68" s="675"/>
      <c r="Y68" s="78"/>
      <c r="Z68" s="675"/>
      <c r="AA68" s="78"/>
      <c r="AB68" s="675"/>
      <c r="AC68" s="78"/>
      <c r="AD68" s="675"/>
      <c r="AE68" s="256">
        <f t="shared" si="23"/>
        <v>0</v>
      </c>
      <c r="AF68" s="89">
        <f t="shared" si="7"/>
        <v>0</v>
      </c>
      <c r="AG68" s="257">
        <f t="shared" si="24"/>
        <v>0</v>
      </c>
      <c r="AH68" s="79">
        <f t="shared" si="9"/>
        <v>0</v>
      </c>
      <c r="AI68" s="78"/>
      <c r="AJ68" s="675"/>
      <c r="AK68" s="256">
        <f t="shared" si="25"/>
        <v>0</v>
      </c>
      <c r="AL68" s="434">
        <f t="shared" si="26"/>
        <v>0</v>
      </c>
      <c r="AM68" s="78"/>
      <c r="AN68" s="675"/>
      <c r="AO68" s="78"/>
      <c r="AP68" s="678"/>
      <c r="AQ68" s="78"/>
      <c r="AR68" s="678"/>
      <c r="AS68" s="78"/>
      <c r="AT68" s="678"/>
      <c r="AU68" s="258">
        <f t="shared" si="12"/>
        <v>0</v>
      </c>
      <c r="AV68" s="89">
        <f t="shared" si="13"/>
        <v>0</v>
      </c>
      <c r="AW68" s="257">
        <f t="shared" si="14"/>
        <v>0</v>
      </c>
      <c r="AX68" s="79">
        <f t="shared" si="15"/>
        <v>0</v>
      </c>
      <c r="AY68" s="259">
        <f t="shared" si="27"/>
        <v>1335.5333333333333</v>
      </c>
      <c r="AZ68" s="79">
        <f t="shared" si="28"/>
        <v>1363.8333333333333</v>
      </c>
      <c r="BA68" s="680"/>
    </row>
    <row r="69" spans="1:53">
      <c r="A69" s="276" t="s">
        <v>727</v>
      </c>
      <c r="B69" s="466" t="s">
        <v>752</v>
      </c>
      <c r="C69" s="276">
        <v>107743</v>
      </c>
      <c r="D69" s="155">
        <v>10</v>
      </c>
      <c r="E69" s="148" t="s">
        <v>393</v>
      </c>
      <c r="F69" s="149"/>
      <c r="G69" s="78"/>
      <c r="H69" s="675"/>
      <c r="I69" s="78">
        <v>7724</v>
      </c>
      <c r="J69" s="678">
        <v>8069</v>
      </c>
      <c r="K69" s="679">
        <v>1344</v>
      </c>
      <c r="L69" s="678">
        <v>1235</v>
      </c>
      <c r="M69" s="679">
        <v>8444</v>
      </c>
      <c r="N69" s="678">
        <v>9771</v>
      </c>
      <c r="O69" s="256">
        <f t="shared" ref="O69:O100" si="29">SUM(G69,I69,K69,M69)</f>
        <v>17512</v>
      </c>
      <c r="P69" s="89">
        <f t="shared" ref="P69:P100" si="30">+O69/30</f>
        <v>583.73333333333335</v>
      </c>
      <c r="Q69" s="257">
        <f t="shared" ref="Q69:Q100" si="31">SUM(H69,J69,L69,N69)</f>
        <v>19075</v>
      </c>
      <c r="R69" s="79">
        <f t="shared" ref="R69:R132" si="32">+Q69/30</f>
        <v>635.83333333333337</v>
      </c>
      <c r="S69" s="78">
        <v>2356</v>
      </c>
      <c r="T69" s="678">
        <v>2505</v>
      </c>
      <c r="U69" s="256">
        <f t="shared" ref="U69:U100" si="33">IF(OR(ISBLANK(S69),(S69="—")),0,O69)</f>
        <v>17512</v>
      </c>
      <c r="V69" s="434">
        <f t="shared" ref="V69:V100" si="34">IF(OR(ISBLANK(T69),(T69="—")),0,Q69)</f>
        <v>19075</v>
      </c>
      <c r="W69" s="78"/>
      <c r="X69" s="675"/>
      <c r="Y69" s="78"/>
      <c r="Z69" s="675"/>
      <c r="AA69" s="78"/>
      <c r="AB69" s="675"/>
      <c r="AC69" s="78"/>
      <c r="AD69" s="675"/>
      <c r="AE69" s="256">
        <f t="shared" ref="AE69:AE100" si="35">SUM(W69,Y69,AA69,AC69)</f>
        <v>0</v>
      </c>
      <c r="AF69" s="89">
        <f t="shared" ref="AF69:AF132" si="36">+AE69/900</f>
        <v>0</v>
      </c>
      <c r="AG69" s="257">
        <f t="shared" ref="AG69:AG100" si="37">SUM(X69,Z69,AB69,AD69)</f>
        <v>0</v>
      </c>
      <c r="AH69" s="79">
        <f t="shared" ref="AH69:AH132" si="38">+AG69/900</f>
        <v>0</v>
      </c>
      <c r="AI69" s="78"/>
      <c r="AJ69" s="675"/>
      <c r="AK69" s="256">
        <f t="shared" ref="AK69:AK100" si="39">IF(OR(ISBLANK(AI69),(AI69="—")),0,AE69)</f>
        <v>0</v>
      </c>
      <c r="AL69" s="434">
        <f t="shared" ref="AL69:AL100" si="40">IF(OR(ISBLANK(AJ69),(AJ69="—")),0,AG69)</f>
        <v>0</v>
      </c>
      <c r="AM69" s="78"/>
      <c r="AN69" s="675"/>
      <c r="AO69" s="78"/>
      <c r="AP69" s="678"/>
      <c r="AQ69" s="78"/>
      <c r="AR69" s="678"/>
      <c r="AS69" s="78"/>
      <c r="AT69" s="678"/>
      <c r="AU69" s="258">
        <f t="shared" ref="AU69:AU132" si="41">SUM(AM69,AO69,AQ69,AS69)</f>
        <v>0</v>
      </c>
      <c r="AV69" s="89">
        <f t="shared" ref="AV69:AV132" si="42">+AU69/24</f>
        <v>0</v>
      </c>
      <c r="AW69" s="257">
        <f t="shared" ref="AW69:AW119" si="43">SUM(AN69,AP69,AR69,AT69)</f>
        <v>0</v>
      </c>
      <c r="AX69" s="79">
        <f t="shared" ref="AX69:AX132" si="44">+AW69/24</f>
        <v>0</v>
      </c>
      <c r="AY69" s="259">
        <f t="shared" ref="AY69:AY100" si="45">SUM(P69,AF69,AV69)</f>
        <v>583.73333333333335</v>
      </c>
      <c r="AZ69" s="79">
        <f t="shared" ref="AZ69:AZ100" si="46">SUM(R69,AH69,AX69)</f>
        <v>635.83333333333337</v>
      </c>
      <c r="BA69" s="680"/>
    </row>
    <row r="70" spans="1:53">
      <c r="A70" s="276" t="s">
        <v>727</v>
      </c>
      <c r="B70" s="466" t="s">
        <v>753</v>
      </c>
      <c r="C70" s="276">
        <v>107974</v>
      </c>
      <c r="D70" s="155">
        <v>10</v>
      </c>
      <c r="E70" s="148" t="s">
        <v>393</v>
      </c>
      <c r="F70" s="149"/>
      <c r="G70" s="78"/>
      <c r="H70" s="675"/>
      <c r="I70" s="78">
        <v>13219</v>
      </c>
      <c r="J70" s="678">
        <v>15006</v>
      </c>
      <c r="K70" s="679">
        <v>5706</v>
      </c>
      <c r="L70" s="678">
        <v>6052</v>
      </c>
      <c r="M70" s="679">
        <v>14925</v>
      </c>
      <c r="N70" s="678">
        <v>16775</v>
      </c>
      <c r="O70" s="256">
        <f t="shared" si="29"/>
        <v>33850</v>
      </c>
      <c r="P70" s="89">
        <f t="shared" si="30"/>
        <v>1128.3333333333333</v>
      </c>
      <c r="Q70" s="257">
        <f t="shared" si="31"/>
        <v>37833</v>
      </c>
      <c r="R70" s="79">
        <f t="shared" si="32"/>
        <v>1261.0999999999999</v>
      </c>
      <c r="S70" s="78">
        <v>1701</v>
      </c>
      <c r="T70" s="678">
        <v>2026</v>
      </c>
      <c r="U70" s="256">
        <f t="shared" si="33"/>
        <v>33850</v>
      </c>
      <c r="V70" s="434">
        <f t="shared" si="34"/>
        <v>37833</v>
      </c>
      <c r="W70" s="78"/>
      <c r="X70" s="675"/>
      <c r="Y70" s="78"/>
      <c r="Z70" s="675"/>
      <c r="AA70" s="78"/>
      <c r="AB70" s="675"/>
      <c r="AC70" s="78"/>
      <c r="AD70" s="675"/>
      <c r="AE70" s="256">
        <f t="shared" si="35"/>
        <v>0</v>
      </c>
      <c r="AF70" s="89">
        <f t="shared" si="36"/>
        <v>0</v>
      </c>
      <c r="AG70" s="257">
        <f t="shared" si="37"/>
        <v>0</v>
      </c>
      <c r="AH70" s="79">
        <f t="shared" si="38"/>
        <v>0</v>
      </c>
      <c r="AI70" s="78"/>
      <c r="AJ70" s="675"/>
      <c r="AK70" s="256">
        <f t="shared" si="39"/>
        <v>0</v>
      </c>
      <c r="AL70" s="434">
        <f t="shared" si="40"/>
        <v>0</v>
      </c>
      <c r="AM70" s="78"/>
      <c r="AN70" s="675"/>
      <c r="AO70" s="78"/>
      <c r="AP70" s="678"/>
      <c r="AQ70" s="78"/>
      <c r="AR70" s="678"/>
      <c r="AS70" s="78"/>
      <c r="AT70" s="678"/>
      <c r="AU70" s="258">
        <f t="shared" si="41"/>
        <v>0</v>
      </c>
      <c r="AV70" s="89">
        <f t="shared" si="42"/>
        <v>0</v>
      </c>
      <c r="AW70" s="257">
        <f t="shared" si="43"/>
        <v>0</v>
      </c>
      <c r="AX70" s="79">
        <f t="shared" si="44"/>
        <v>0</v>
      </c>
      <c r="AY70" s="259">
        <f t="shared" si="45"/>
        <v>1128.3333333333333</v>
      </c>
      <c r="AZ70" s="79">
        <f t="shared" si="46"/>
        <v>1261.0999999999999</v>
      </c>
      <c r="BA70" s="680"/>
    </row>
    <row r="71" spans="1:53">
      <c r="A71" s="276" t="s">
        <v>727</v>
      </c>
      <c r="B71" s="466" t="s">
        <v>754</v>
      </c>
      <c r="C71" s="276">
        <v>107637</v>
      </c>
      <c r="D71" s="155">
        <v>10</v>
      </c>
      <c r="E71" s="148" t="s">
        <v>393</v>
      </c>
      <c r="F71" s="149"/>
      <c r="G71" s="78"/>
      <c r="H71" s="675"/>
      <c r="I71" s="78">
        <v>19378</v>
      </c>
      <c r="J71" s="678">
        <v>20137</v>
      </c>
      <c r="K71" s="679">
        <v>6339</v>
      </c>
      <c r="L71" s="678">
        <v>6139</v>
      </c>
      <c r="M71" s="679">
        <v>19870</v>
      </c>
      <c r="N71" s="678">
        <v>20029</v>
      </c>
      <c r="O71" s="256">
        <f t="shared" si="29"/>
        <v>45587</v>
      </c>
      <c r="P71" s="89">
        <f t="shared" si="30"/>
        <v>1519.5666666666666</v>
      </c>
      <c r="Q71" s="257">
        <f t="shared" si="31"/>
        <v>46305</v>
      </c>
      <c r="R71" s="79">
        <f t="shared" si="32"/>
        <v>1543.5</v>
      </c>
      <c r="S71" s="78">
        <v>1307</v>
      </c>
      <c r="T71" s="678">
        <v>932</v>
      </c>
      <c r="U71" s="256">
        <f t="shared" si="33"/>
        <v>45587</v>
      </c>
      <c r="V71" s="434">
        <f t="shared" si="34"/>
        <v>46305</v>
      </c>
      <c r="W71" s="78"/>
      <c r="X71" s="675"/>
      <c r="Y71" s="78"/>
      <c r="Z71" s="675"/>
      <c r="AA71" s="78"/>
      <c r="AB71" s="675"/>
      <c r="AC71" s="78"/>
      <c r="AD71" s="675"/>
      <c r="AE71" s="256">
        <f t="shared" si="35"/>
        <v>0</v>
      </c>
      <c r="AF71" s="89">
        <f t="shared" si="36"/>
        <v>0</v>
      </c>
      <c r="AG71" s="257">
        <f t="shared" si="37"/>
        <v>0</v>
      </c>
      <c r="AH71" s="79">
        <f t="shared" si="38"/>
        <v>0</v>
      </c>
      <c r="AI71" s="78"/>
      <c r="AJ71" s="675"/>
      <c r="AK71" s="256">
        <f t="shared" si="39"/>
        <v>0</v>
      </c>
      <c r="AL71" s="434">
        <f t="shared" si="40"/>
        <v>0</v>
      </c>
      <c r="AM71" s="78"/>
      <c r="AN71" s="675"/>
      <c r="AO71" s="78"/>
      <c r="AP71" s="678"/>
      <c r="AQ71" s="78"/>
      <c r="AR71" s="678"/>
      <c r="AS71" s="78"/>
      <c r="AT71" s="678"/>
      <c r="AU71" s="258">
        <f t="shared" si="41"/>
        <v>0</v>
      </c>
      <c r="AV71" s="89">
        <f t="shared" si="42"/>
        <v>0</v>
      </c>
      <c r="AW71" s="257">
        <f t="shared" si="43"/>
        <v>0</v>
      </c>
      <c r="AX71" s="79">
        <f t="shared" si="44"/>
        <v>0</v>
      </c>
      <c r="AY71" s="259">
        <f t="shared" si="45"/>
        <v>1519.5666666666666</v>
      </c>
      <c r="AZ71" s="79">
        <f t="shared" si="46"/>
        <v>1543.5</v>
      </c>
      <c r="BA71" s="680"/>
    </row>
    <row r="72" spans="1:53">
      <c r="A72" s="276" t="s">
        <v>727</v>
      </c>
      <c r="B72" s="466" t="s">
        <v>755</v>
      </c>
      <c r="C72" s="276">
        <v>107992</v>
      </c>
      <c r="D72" s="155">
        <v>10</v>
      </c>
      <c r="E72" s="148" t="s">
        <v>393</v>
      </c>
      <c r="F72" s="149"/>
      <c r="G72" s="78"/>
      <c r="H72" s="675"/>
      <c r="I72" s="78">
        <v>16427</v>
      </c>
      <c r="J72" s="678">
        <v>17833</v>
      </c>
      <c r="K72" s="679">
        <v>5406</v>
      </c>
      <c r="L72" s="678">
        <v>5057</v>
      </c>
      <c r="M72" s="679">
        <v>17528</v>
      </c>
      <c r="N72" s="678">
        <v>18735</v>
      </c>
      <c r="O72" s="256">
        <f t="shared" si="29"/>
        <v>39361</v>
      </c>
      <c r="P72" s="89">
        <f t="shared" si="30"/>
        <v>1312.0333333333333</v>
      </c>
      <c r="Q72" s="257">
        <f t="shared" si="31"/>
        <v>41625</v>
      </c>
      <c r="R72" s="79">
        <f t="shared" si="32"/>
        <v>1387.5</v>
      </c>
      <c r="S72" s="78">
        <v>8310</v>
      </c>
      <c r="T72" s="678">
        <v>9066</v>
      </c>
      <c r="U72" s="256">
        <f t="shared" si="33"/>
        <v>39361</v>
      </c>
      <c r="V72" s="434">
        <f t="shared" si="34"/>
        <v>41625</v>
      </c>
      <c r="W72" s="78"/>
      <c r="X72" s="675"/>
      <c r="Y72" s="78"/>
      <c r="Z72" s="675"/>
      <c r="AA72" s="78"/>
      <c r="AB72" s="675"/>
      <c r="AC72" s="78"/>
      <c r="AD72" s="675"/>
      <c r="AE72" s="256">
        <f t="shared" si="35"/>
        <v>0</v>
      </c>
      <c r="AF72" s="89">
        <f t="shared" si="36"/>
        <v>0</v>
      </c>
      <c r="AG72" s="257">
        <f t="shared" si="37"/>
        <v>0</v>
      </c>
      <c r="AH72" s="79">
        <f t="shared" si="38"/>
        <v>0</v>
      </c>
      <c r="AI72" s="78"/>
      <c r="AJ72" s="675"/>
      <c r="AK72" s="256">
        <f t="shared" si="39"/>
        <v>0</v>
      </c>
      <c r="AL72" s="434">
        <f t="shared" si="40"/>
        <v>0</v>
      </c>
      <c r="AM72" s="78"/>
      <c r="AN72" s="675"/>
      <c r="AO72" s="78"/>
      <c r="AP72" s="678"/>
      <c r="AQ72" s="78"/>
      <c r="AR72" s="678"/>
      <c r="AS72" s="78"/>
      <c r="AT72" s="678"/>
      <c r="AU72" s="258">
        <f t="shared" si="41"/>
        <v>0</v>
      </c>
      <c r="AV72" s="89">
        <f t="shared" si="42"/>
        <v>0</v>
      </c>
      <c r="AW72" s="257">
        <f t="shared" si="43"/>
        <v>0</v>
      </c>
      <c r="AX72" s="79">
        <f t="shared" si="44"/>
        <v>0</v>
      </c>
      <c r="AY72" s="259">
        <f t="shared" si="45"/>
        <v>1312.0333333333333</v>
      </c>
      <c r="AZ72" s="79">
        <f t="shared" si="46"/>
        <v>1387.5</v>
      </c>
      <c r="BA72" s="680"/>
    </row>
    <row r="73" spans="1:53">
      <c r="A73" s="276" t="s">
        <v>727</v>
      </c>
      <c r="B73" s="466" t="s">
        <v>756</v>
      </c>
      <c r="C73" s="276">
        <v>106999</v>
      </c>
      <c r="D73" s="155">
        <v>10</v>
      </c>
      <c r="E73" s="148" t="s">
        <v>393</v>
      </c>
      <c r="F73" s="149"/>
      <c r="G73" s="78"/>
      <c r="H73" s="675"/>
      <c r="I73" s="78">
        <v>14964</v>
      </c>
      <c r="J73" s="678">
        <v>16103</v>
      </c>
      <c r="K73" s="679">
        <v>4278</v>
      </c>
      <c r="L73" s="678">
        <v>4523</v>
      </c>
      <c r="M73" s="679">
        <v>16394</v>
      </c>
      <c r="N73" s="678">
        <v>19086</v>
      </c>
      <c r="O73" s="256">
        <f t="shared" si="29"/>
        <v>35636</v>
      </c>
      <c r="P73" s="89">
        <f t="shared" si="30"/>
        <v>1187.8666666666666</v>
      </c>
      <c r="Q73" s="257">
        <f t="shared" si="31"/>
        <v>39712</v>
      </c>
      <c r="R73" s="79">
        <f t="shared" si="32"/>
        <v>1323.7333333333333</v>
      </c>
      <c r="S73" s="78">
        <v>705</v>
      </c>
      <c r="T73" s="678">
        <v>864</v>
      </c>
      <c r="U73" s="256">
        <f t="shared" si="33"/>
        <v>35636</v>
      </c>
      <c r="V73" s="434">
        <f t="shared" si="34"/>
        <v>39712</v>
      </c>
      <c r="W73" s="78"/>
      <c r="X73" s="675"/>
      <c r="Y73" s="78"/>
      <c r="Z73" s="675"/>
      <c r="AA73" s="78"/>
      <c r="AB73" s="675"/>
      <c r="AC73" s="78"/>
      <c r="AD73" s="675"/>
      <c r="AE73" s="256">
        <f t="shared" si="35"/>
        <v>0</v>
      </c>
      <c r="AF73" s="89">
        <f t="shared" si="36"/>
        <v>0</v>
      </c>
      <c r="AG73" s="257">
        <f t="shared" si="37"/>
        <v>0</v>
      </c>
      <c r="AH73" s="79">
        <f t="shared" si="38"/>
        <v>0</v>
      </c>
      <c r="AI73" s="78"/>
      <c r="AJ73" s="675"/>
      <c r="AK73" s="256">
        <f t="shared" si="39"/>
        <v>0</v>
      </c>
      <c r="AL73" s="434">
        <f t="shared" si="40"/>
        <v>0</v>
      </c>
      <c r="AM73" s="78"/>
      <c r="AN73" s="675"/>
      <c r="AO73" s="78"/>
      <c r="AP73" s="678"/>
      <c r="AQ73" s="78"/>
      <c r="AR73" s="678"/>
      <c r="AS73" s="78"/>
      <c r="AT73" s="678"/>
      <c r="AU73" s="258">
        <f t="shared" si="41"/>
        <v>0</v>
      </c>
      <c r="AV73" s="89">
        <f t="shared" si="42"/>
        <v>0</v>
      </c>
      <c r="AW73" s="257">
        <f t="shared" si="43"/>
        <v>0</v>
      </c>
      <c r="AX73" s="79">
        <f t="shared" si="44"/>
        <v>0</v>
      </c>
      <c r="AY73" s="259">
        <f t="shared" si="45"/>
        <v>1187.8666666666666</v>
      </c>
      <c r="AZ73" s="79">
        <f t="shared" si="46"/>
        <v>1323.7333333333333</v>
      </c>
      <c r="BA73" s="680"/>
    </row>
    <row r="74" spans="1:53">
      <c r="A74" s="276" t="s">
        <v>727</v>
      </c>
      <c r="B74" s="466" t="s">
        <v>757</v>
      </c>
      <c r="C74" s="276">
        <v>107725</v>
      </c>
      <c r="D74" s="155">
        <v>10</v>
      </c>
      <c r="E74" s="148" t="s">
        <v>393</v>
      </c>
      <c r="F74" s="149"/>
      <c r="G74" s="78"/>
      <c r="H74" s="675"/>
      <c r="I74" s="78">
        <v>11789</v>
      </c>
      <c r="J74" s="678">
        <v>13419</v>
      </c>
      <c r="K74" s="679">
        <v>2494</v>
      </c>
      <c r="L74" s="678">
        <v>3168</v>
      </c>
      <c r="M74" s="679">
        <v>12872</v>
      </c>
      <c r="N74" s="678">
        <v>15152</v>
      </c>
      <c r="O74" s="256">
        <f t="shared" si="29"/>
        <v>27155</v>
      </c>
      <c r="P74" s="89">
        <f t="shared" si="30"/>
        <v>905.16666666666663</v>
      </c>
      <c r="Q74" s="257">
        <f t="shared" si="31"/>
        <v>31739</v>
      </c>
      <c r="R74" s="79">
        <f t="shared" si="32"/>
        <v>1057.9666666666667</v>
      </c>
      <c r="S74" s="78">
        <v>1296</v>
      </c>
      <c r="T74" s="678">
        <v>1176</v>
      </c>
      <c r="U74" s="256">
        <f t="shared" si="33"/>
        <v>27155</v>
      </c>
      <c r="V74" s="434">
        <f t="shared" si="34"/>
        <v>31739</v>
      </c>
      <c r="W74" s="78"/>
      <c r="X74" s="675"/>
      <c r="Y74" s="78"/>
      <c r="Z74" s="675"/>
      <c r="AA74" s="78"/>
      <c r="AB74" s="675"/>
      <c r="AC74" s="78"/>
      <c r="AD74" s="675"/>
      <c r="AE74" s="256">
        <f t="shared" si="35"/>
        <v>0</v>
      </c>
      <c r="AF74" s="89">
        <f t="shared" si="36"/>
        <v>0</v>
      </c>
      <c r="AG74" s="257">
        <f t="shared" si="37"/>
        <v>0</v>
      </c>
      <c r="AH74" s="79">
        <f t="shared" si="38"/>
        <v>0</v>
      </c>
      <c r="AI74" s="78"/>
      <c r="AJ74" s="675"/>
      <c r="AK74" s="256">
        <f t="shared" si="39"/>
        <v>0</v>
      </c>
      <c r="AL74" s="434">
        <f t="shared" si="40"/>
        <v>0</v>
      </c>
      <c r="AM74" s="78"/>
      <c r="AN74" s="675"/>
      <c r="AO74" s="78"/>
      <c r="AP74" s="678"/>
      <c r="AQ74" s="78"/>
      <c r="AR74" s="678"/>
      <c r="AS74" s="78"/>
      <c r="AT74" s="678"/>
      <c r="AU74" s="258">
        <f t="shared" si="41"/>
        <v>0</v>
      </c>
      <c r="AV74" s="89">
        <f t="shared" si="42"/>
        <v>0</v>
      </c>
      <c r="AW74" s="257">
        <f t="shared" si="43"/>
        <v>0</v>
      </c>
      <c r="AX74" s="79">
        <f t="shared" si="44"/>
        <v>0</v>
      </c>
      <c r="AY74" s="259">
        <f t="shared" si="45"/>
        <v>905.16666666666663</v>
      </c>
      <c r="AZ74" s="79">
        <f t="shared" si="46"/>
        <v>1057.9666666666667</v>
      </c>
      <c r="BA74" s="680"/>
    </row>
    <row r="75" spans="1:53">
      <c r="A75" s="276" t="s">
        <v>727</v>
      </c>
      <c r="B75" s="466" t="s">
        <v>758</v>
      </c>
      <c r="C75" s="276">
        <v>107585</v>
      </c>
      <c r="D75" s="155">
        <v>10</v>
      </c>
      <c r="E75" s="148" t="s">
        <v>393</v>
      </c>
      <c r="F75" s="149"/>
      <c r="G75" s="78"/>
      <c r="H75" s="675"/>
      <c r="I75" s="78">
        <v>18457</v>
      </c>
      <c r="J75" s="678">
        <v>21347</v>
      </c>
      <c r="K75" s="679">
        <v>2571</v>
      </c>
      <c r="L75" s="678">
        <v>3472</v>
      </c>
      <c r="M75" s="679">
        <v>22181</v>
      </c>
      <c r="N75" s="678">
        <v>27660</v>
      </c>
      <c r="O75" s="256">
        <f t="shared" si="29"/>
        <v>43209</v>
      </c>
      <c r="P75" s="89">
        <f t="shared" si="30"/>
        <v>1440.3</v>
      </c>
      <c r="Q75" s="257">
        <f t="shared" si="31"/>
        <v>52479</v>
      </c>
      <c r="R75" s="79">
        <f t="shared" si="32"/>
        <v>1749.3</v>
      </c>
      <c r="S75" s="78">
        <v>448</v>
      </c>
      <c r="T75" s="678">
        <v>524</v>
      </c>
      <c r="U75" s="256">
        <f t="shared" si="33"/>
        <v>43209</v>
      </c>
      <c r="V75" s="434">
        <f t="shared" si="34"/>
        <v>52479</v>
      </c>
      <c r="W75" s="78"/>
      <c r="X75" s="675"/>
      <c r="Y75" s="78"/>
      <c r="Z75" s="675"/>
      <c r="AA75" s="78"/>
      <c r="AB75" s="675"/>
      <c r="AC75" s="78"/>
      <c r="AD75" s="675"/>
      <c r="AE75" s="256">
        <f t="shared" si="35"/>
        <v>0</v>
      </c>
      <c r="AF75" s="89">
        <f t="shared" si="36"/>
        <v>0</v>
      </c>
      <c r="AG75" s="257">
        <f t="shared" si="37"/>
        <v>0</v>
      </c>
      <c r="AH75" s="79">
        <f t="shared" si="38"/>
        <v>0</v>
      </c>
      <c r="AI75" s="78"/>
      <c r="AJ75" s="675"/>
      <c r="AK75" s="256">
        <f t="shared" si="39"/>
        <v>0</v>
      </c>
      <c r="AL75" s="434">
        <f t="shared" si="40"/>
        <v>0</v>
      </c>
      <c r="AM75" s="78"/>
      <c r="AN75" s="675"/>
      <c r="AO75" s="78"/>
      <c r="AP75" s="678"/>
      <c r="AQ75" s="78"/>
      <c r="AR75" s="678"/>
      <c r="AS75" s="78"/>
      <c r="AT75" s="678"/>
      <c r="AU75" s="258">
        <f t="shared" si="41"/>
        <v>0</v>
      </c>
      <c r="AV75" s="89">
        <f t="shared" si="42"/>
        <v>0</v>
      </c>
      <c r="AW75" s="257">
        <f t="shared" si="43"/>
        <v>0</v>
      </c>
      <c r="AX75" s="79">
        <f t="shared" si="44"/>
        <v>0</v>
      </c>
      <c r="AY75" s="259">
        <f t="shared" si="45"/>
        <v>1440.3</v>
      </c>
      <c r="AZ75" s="79">
        <f t="shared" si="46"/>
        <v>1749.3</v>
      </c>
      <c r="BA75" s="680"/>
    </row>
    <row r="76" spans="1:53" s="93" customFormat="1">
      <c r="A76" s="469" t="s">
        <v>48</v>
      </c>
      <c r="B76" s="272" t="s">
        <v>51</v>
      </c>
      <c r="C76" s="273">
        <v>130943</v>
      </c>
      <c r="D76" s="274">
        <v>1</v>
      </c>
      <c r="E76" s="148" t="s">
        <v>393</v>
      </c>
      <c r="F76" s="149" t="s">
        <v>841</v>
      </c>
      <c r="G76" s="78">
        <v>36982</v>
      </c>
      <c r="H76" s="675">
        <v>35795</v>
      </c>
      <c r="I76" s="78">
        <v>216280</v>
      </c>
      <c r="J76" s="675">
        <v>219168</v>
      </c>
      <c r="K76" s="78">
        <v>18149</v>
      </c>
      <c r="L76" s="675">
        <v>16806</v>
      </c>
      <c r="M76" s="78">
        <v>233697</v>
      </c>
      <c r="N76" s="675">
        <v>242206</v>
      </c>
      <c r="O76" s="256">
        <f t="shared" si="29"/>
        <v>505108</v>
      </c>
      <c r="P76" s="89">
        <f t="shared" si="30"/>
        <v>16836.933333333334</v>
      </c>
      <c r="Q76" s="257">
        <f t="shared" si="31"/>
        <v>513975</v>
      </c>
      <c r="R76" s="79">
        <f>+Q76/30</f>
        <v>17132.5</v>
      </c>
      <c r="S76" s="492">
        <v>273</v>
      </c>
      <c r="T76" s="675">
        <v>327</v>
      </c>
      <c r="U76" s="256">
        <f t="shared" si="33"/>
        <v>505108</v>
      </c>
      <c r="V76" s="434">
        <f t="shared" si="34"/>
        <v>513975</v>
      </c>
      <c r="W76" s="78"/>
      <c r="X76" s="675"/>
      <c r="Y76" s="78"/>
      <c r="Z76" s="675"/>
      <c r="AA76" s="78"/>
      <c r="AB76" s="675"/>
      <c r="AC76" s="78"/>
      <c r="AD76" s="675"/>
      <c r="AE76" s="256">
        <f t="shared" si="35"/>
        <v>0</v>
      </c>
      <c r="AF76" s="89">
        <f>+AE76/900</f>
        <v>0</v>
      </c>
      <c r="AG76" s="257">
        <f t="shared" si="37"/>
        <v>0</v>
      </c>
      <c r="AH76" s="79">
        <f>+AG76/900</f>
        <v>0</v>
      </c>
      <c r="AI76" s="78"/>
      <c r="AJ76" s="675"/>
      <c r="AK76" s="256">
        <f t="shared" si="39"/>
        <v>0</v>
      </c>
      <c r="AL76" s="434">
        <f t="shared" si="40"/>
        <v>0</v>
      </c>
      <c r="AM76" s="78">
        <v>1772</v>
      </c>
      <c r="AN76" s="675">
        <v>1781</v>
      </c>
      <c r="AO76" s="78">
        <v>19503</v>
      </c>
      <c r="AP76" s="675">
        <v>20606</v>
      </c>
      <c r="AQ76" s="78">
        <v>5820</v>
      </c>
      <c r="AR76" s="675">
        <v>5803</v>
      </c>
      <c r="AS76" s="78">
        <v>22540</v>
      </c>
      <c r="AT76" s="675">
        <v>24144</v>
      </c>
      <c r="AU76" s="258">
        <f>SUM(AM76,AO76,AQ76,AS76)</f>
        <v>49635</v>
      </c>
      <c r="AV76" s="89">
        <f>+AU76/24</f>
        <v>2068.125</v>
      </c>
      <c r="AW76" s="257">
        <f>SUM(AN76,AP76,AR76,AT76)</f>
        <v>52334</v>
      </c>
      <c r="AX76" s="79">
        <f>+AW76/24</f>
        <v>2180.5833333333335</v>
      </c>
      <c r="AY76" s="259">
        <f t="shared" si="45"/>
        <v>18905.058333333334</v>
      </c>
      <c r="AZ76" s="79">
        <f t="shared" si="46"/>
        <v>19313.083333333332</v>
      </c>
      <c r="BA76" s="677"/>
    </row>
    <row r="77" spans="1:53" s="93" customFormat="1">
      <c r="A77" s="469" t="s">
        <v>48</v>
      </c>
      <c r="B77" s="272" t="s">
        <v>52</v>
      </c>
      <c r="C77" s="273">
        <v>130934</v>
      </c>
      <c r="D77" s="274">
        <v>4</v>
      </c>
      <c r="E77" s="148" t="s">
        <v>393</v>
      </c>
      <c r="F77" s="149" t="s">
        <v>393</v>
      </c>
      <c r="G77" s="78"/>
      <c r="H77" s="675"/>
      <c r="I77" s="78">
        <v>44907</v>
      </c>
      <c r="J77" s="675">
        <v>42773</v>
      </c>
      <c r="K77" s="492">
        <v>5820</v>
      </c>
      <c r="L77" s="676">
        <v>5037</v>
      </c>
      <c r="M77" s="78">
        <v>45384</v>
      </c>
      <c r="N77" s="675">
        <v>45618</v>
      </c>
      <c r="O77" s="256">
        <f t="shared" si="29"/>
        <v>96111</v>
      </c>
      <c r="P77" s="89">
        <f t="shared" si="30"/>
        <v>3203.7</v>
      </c>
      <c r="Q77" s="257">
        <f t="shared" si="31"/>
        <v>93428</v>
      </c>
      <c r="R77" s="79">
        <f>+Q77/30</f>
        <v>3114.2666666666669</v>
      </c>
      <c r="S77" s="492">
        <v>0</v>
      </c>
      <c r="T77" s="675">
        <v>138</v>
      </c>
      <c r="U77" s="256">
        <f t="shared" si="33"/>
        <v>96111</v>
      </c>
      <c r="V77" s="434">
        <f t="shared" si="34"/>
        <v>93428</v>
      </c>
      <c r="W77" s="78"/>
      <c r="X77" s="675"/>
      <c r="Y77" s="78"/>
      <c r="Z77" s="675"/>
      <c r="AA77" s="78"/>
      <c r="AB77" s="675"/>
      <c r="AC77" s="78"/>
      <c r="AD77" s="675"/>
      <c r="AE77" s="256">
        <f t="shared" si="35"/>
        <v>0</v>
      </c>
      <c r="AF77" s="89">
        <f>+AE77/900</f>
        <v>0</v>
      </c>
      <c r="AG77" s="257">
        <f t="shared" si="37"/>
        <v>0</v>
      </c>
      <c r="AH77" s="79">
        <f>+AG77/900</f>
        <v>0</v>
      </c>
      <c r="AI77" s="78"/>
      <c r="AJ77" s="675"/>
      <c r="AK77" s="256">
        <f t="shared" si="39"/>
        <v>0</v>
      </c>
      <c r="AL77" s="434">
        <f t="shared" si="40"/>
        <v>0</v>
      </c>
      <c r="AM77" s="78"/>
      <c r="AN77" s="675"/>
      <c r="AO77" s="78">
        <v>2880</v>
      </c>
      <c r="AP77" s="675">
        <v>2470</v>
      </c>
      <c r="AQ77" s="492">
        <v>1430</v>
      </c>
      <c r="AR77" s="676">
        <v>901</v>
      </c>
      <c r="AS77" s="78">
        <v>2726</v>
      </c>
      <c r="AT77" s="675">
        <v>2848</v>
      </c>
      <c r="AU77" s="258">
        <f>SUM(AM77,AO77,AQ77,AS77)</f>
        <v>7036</v>
      </c>
      <c r="AV77" s="89">
        <f>+AU77/24</f>
        <v>293.16666666666669</v>
      </c>
      <c r="AW77" s="257">
        <f>SUM(AN77,AP77,AR77,AT77)</f>
        <v>6219</v>
      </c>
      <c r="AX77" s="79">
        <f>+AW77/24</f>
        <v>259.125</v>
      </c>
      <c r="AY77" s="259">
        <f t="shared" si="45"/>
        <v>3496.8666666666663</v>
      </c>
      <c r="AZ77" s="79">
        <f t="shared" si="46"/>
        <v>3373.3916666666669</v>
      </c>
      <c r="BA77" s="677"/>
    </row>
    <row r="78" spans="1:53" s="93" customFormat="1">
      <c r="A78" s="469" t="s">
        <v>48</v>
      </c>
      <c r="B78" s="470" t="s">
        <v>53</v>
      </c>
      <c r="C78" s="469">
        <v>130891</v>
      </c>
      <c r="D78" s="299">
        <v>9</v>
      </c>
      <c r="E78" s="148" t="s">
        <v>393</v>
      </c>
      <c r="F78" s="149" t="s">
        <v>393</v>
      </c>
      <c r="G78" s="78"/>
      <c r="H78" s="675"/>
      <c r="I78" s="78">
        <v>36617</v>
      </c>
      <c r="J78" s="675">
        <v>40958</v>
      </c>
      <c r="K78" s="78">
        <v>5094</v>
      </c>
      <c r="L78" s="675">
        <v>7947</v>
      </c>
      <c r="M78" s="78">
        <v>42099</v>
      </c>
      <c r="N78" s="675">
        <v>49270</v>
      </c>
      <c r="O78" s="256">
        <f t="shared" si="29"/>
        <v>83810</v>
      </c>
      <c r="P78" s="89">
        <f t="shared" si="30"/>
        <v>2793.6666666666665</v>
      </c>
      <c r="Q78" s="257">
        <f t="shared" si="31"/>
        <v>98175</v>
      </c>
      <c r="R78" s="79">
        <f>+Q78/30</f>
        <v>3272.5</v>
      </c>
      <c r="S78" s="492">
        <v>69</v>
      </c>
      <c r="T78" s="675">
        <v>82</v>
      </c>
      <c r="U78" s="256">
        <f t="shared" si="33"/>
        <v>83810</v>
      </c>
      <c r="V78" s="434">
        <f t="shared" si="34"/>
        <v>98175</v>
      </c>
      <c r="W78" s="78"/>
      <c r="X78" s="675"/>
      <c r="Y78" s="78"/>
      <c r="Z78" s="675"/>
      <c r="AA78" s="78"/>
      <c r="AB78" s="675"/>
      <c r="AC78" s="78"/>
      <c r="AD78" s="675"/>
      <c r="AE78" s="256">
        <f t="shared" si="35"/>
        <v>0</v>
      </c>
      <c r="AF78" s="89">
        <f>+AE78/900</f>
        <v>0</v>
      </c>
      <c r="AG78" s="257">
        <f t="shared" si="37"/>
        <v>0</v>
      </c>
      <c r="AH78" s="79">
        <f>+AG78/900</f>
        <v>0</v>
      </c>
      <c r="AI78" s="78"/>
      <c r="AJ78" s="675"/>
      <c r="AK78" s="256">
        <f t="shared" si="39"/>
        <v>0</v>
      </c>
      <c r="AL78" s="434">
        <f t="shared" si="40"/>
        <v>0</v>
      </c>
      <c r="AM78" s="78"/>
      <c r="AN78" s="675"/>
      <c r="AO78" s="78"/>
      <c r="AP78" s="675"/>
      <c r="AQ78" s="78"/>
      <c r="AR78" s="675"/>
      <c r="AS78" s="78"/>
      <c r="AT78" s="675"/>
      <c r="AU78" s="258">
        <f>SUM(AM78,AO78,AQ78,AS78)</f>
        <v>0</v>
      </c>
      <c r="AV78" s="89">
        <f>+AU78/24</f>
        <v>0</v>
      </c>
      <c r="AW78" s="257">
        <f>SUM(AN78,AP78,AR78,AT78)</f>
        <v>0</v>
      </c>
      <c r="AX78" s="79">
        <f>+AW78/24</f>
        <v>0</v>
      </c>
      <c r="AY78" s="259">
        <f t="shared" si="45"/>
        <v>2793.6666666666665</v>
      </c>
      <c r="AZ78" s="79">
        <f t="shared" si="46"/>
        <v>3272.5</v>
      </c>
      <c r="BA78" s="677"/>
    </row>
    <row r="79" spans="1:53" s="93" customFormat="1">
      <c r="A79" s="469" t="s">
        <v>48</v>
      </c>
      <c r="B79" s="470" t="s">
        <v>54</v>
      </c>
      <c r="C79" s="469">
        <v>130916</v>
      </c>
      <c r="D79" s="299">
        <v>9</v>
      </c>
      <c r="E79" s="148" t="s">
        <v>393</v>
      </c>
      <c r="F79" s="149" t="s">
        <v>393</v>
      </c>
      <c r="G79" s="78"/>
      <c r="H79" s="675"/>
      <c r="I79" s="78">
        <v>60261</v>
      </c>
      <c r="J79" s="675">
        <v>64544</v>
      </c>
      <c r="K79" s="78">
        <v>13215</v>
      </c>
      <c r="L79" s="675">
        <v>17850</v>
      </c>
      <c r="M79" s="78">
        <v>67081</v>
      </c>
      <c r="N79" s="675">
        <v>74367</v>
      </c>
      <c r="O79" s="256">
        <f t="shared" si="29"/>
        <v>140557</v>
      </c>
      <c r="P79" s="89">
        <f t="shared" si="30"/>
        <v>4685.2333333333336</v>
      </c>
      <c r="Q79" s="257">
        <f t="shared" si="31"/>
        <v>156761</v>
      </c>
      <c r="R79" s="79">
        <f>+Q79/30</f>
        <v>5225.3666666666668</v>
      </c>
      <c r="S79" s="492">
        <v>110</v>
      </c>
      <c r="T79" s="675">
        <v>132</v>
      </c>
      <c r="U79" s="256">
        <f t="shared" si="33"/>
        <v>140557</v>
      </c>
      <c r="V79" s="434">
        <f t="shared" si="34"/>
        <v>156761</v>
      </c>
      <c r="W79" s="78"/>
      <c r="X79" s="675"/>
      <c r="Y79" s="78"/>
      <c r="Z79" s="675"/>
      <c r="AA79" s="78"/>
      <c r="AB79" s="675"/>
      <c r="AC79" s="78"/>
      <c r="AD79" s="675"/>
      <c r="AE79" s="256">
        <f t="shared" si="35"/>
        <v>0</v>
      </c>
      <c r="AF79" s="89">
        <f>+AE79/900</f>
        <v>0</v>
      </c>
      <c r="AG79" s="257">
        <f t="shared" si="37"/>
        <v>0</v>
      </c>
      <c r="AH79" s="79">
        <f>+AG79/900</f>
        <v>0</v>
      </c>
      <c r="AI79" s="78"/>
      <c r="AJ79" s="675"/>
      <c r="AK79" s="256">
        <f t="shared" si="39"/>
        <v>0</v>
      </c>
      <c r="AL79" s="434">
        <f t="shared" si="40"/>
        <v>0</v>
      </c>
      <c r="AM79" s="78"/>
      <c r="AN79" s="675"/>
      <c r="AO79" s="78"/>
      <c r="AP79" s="675"/>
      <c r="AQ79" s="78"/>
      <c r="AR79" s="675"/>
      <c r="AS79" s="78"/>
      <c r="AT79" s="675"/>
      <c r="AU79" s="258">
        <f>SUM(AM79,AO79,AQ79,AS79)</f>
        <v>0</v>
      </c>
      <c r="AV79" s="89">
        <f>+AU79/24</f>
        <v>0</v>
      </c>
      <c r="AW79" s="257">
        <f>SUM(AN79,AP79,AR79,AT79)</f>
        <v>0</v>
      </c>
      <c r="AX79" s="79">
        <f>+AW79/24</f>
        <v>0</v>
      </c>
      <c r="AY79" s="259">
        <f t="shared" si="45"/>
        <v>4685.2333333333336</v>
      </c>
      <c r="AZ79" s="79">
        <f t="shared" si="46"/>
        <v>5225.3666666666668</v>
      </c>
      <c r="BA79" s="677"/>
    </row>
    <row r="80" spans="1:53" s="93" customFormat="1">
      <c r="A80" s="469" t="s">
        <v>48</v>
      </c>
      <c r="B80" s="471" t="s">
        <v>55</v>
      </c>
      <c r="C80" s="472">
        <v>130907</v>
      </c>
      <c r="D80" s="473">
        <v>9</v>
      </c>
      <c r="E80" s="148" t="s">
        <v>393</v>
      </c>
      <c r="F80" s="149" t="s">
        <v>393</v>
      </c>
      <c r="G80" s="78"/>
      <c r="H80" s="675"/>
      <c r="I80" s="78">
        <v>27699</v>
      </c>
      <c r="J80" s="675">
        <v>30484</v>
      </c>
      <c r="K80" s="78">
        <v>5997</v>
      </c>
      <c r="L80" s="675">
        <v>7967</v>
      </c>
      <c r="M80" s="78">
        <v>31214</v>
      </c>
      <c r="N80" s="675">
        <v>33821</v>
      </c>
      <c r="O80" s="256">
        <f t="shared" si="29"/>
        <v>64910</v>
      </c>
      <c r="P80" s="89">
        <f t="shared" si="30"/>
        <v>2163.6666666666665</v>
      </c>
      <c r="Q80" s="257">
        <f t="shared" si="31"/>
        <v>72272</v>
      </c>
      <c r="R80" s="79">
        <f>+Q80/30</f>
        <v>2409.0666666666666</v>
      </c>
      <c r="S80" s="492">
        <v>51</v>
      </c>
      <c r="T80" s="675">
        <v>60</v>
      </c>
      <c r="U80" s="256">
        <f t="shared" si="33"/>
        <v>64910</v>
      </c>
      <c r="V80" s="434">
        <f t="shared" si="34"/>
        <v>72272</v>
      </c>
      <c r="W80" s="78"/>
      <c r="X80" s="675"/>
      <c r="Y80" s="78"/>
      <c r="Z80" s="675"/>
      <c r="AA80" s="78"/>
      <c r="AB80" s="675"/>
      <c r="AC80" s="78"/>
      <c r="AD80" s="675"/>
      <c r="AE80" s="256">
        <f t="shared" si="35"/>
        <v>0</v>
      </c>
      <c r="AF80" s="89">
        <f>+AE80/900</f>
        <v>0</v>
      </c>
      <c r="AG80" s="257">
        <f t="shared" si="37"/>
        <v>0</v>
      </c>
      <c r="AH80" s="79">
        <f>+AG80/900</f>
        <v>0</v>
      </c>
      <c r="AI80" s="78"/>
      <c r="AJ80" s="675"/>
      <c r="AK80" s="256">
        <f t="shared" si="39"/>
        <v>0</v>
      </c>
      <c r="AL80" s="434">
        <f t="shared" si="40"/>
        <v>0</v>
      </c>
      <c r="AM80" s="78"/>
      <c r="AN80" s="675"/>
      <c r="AO80" s="78"/>
      <c r="AP80" s="675"/>
      <c r="AQ80" s="78"/>
      <c r="AR80" s="675"/>
      <c r="AS80" s="78"/>
      <c r="AT80" s="675"/>
      <c r="AU80" s="258">
        <f>SUM(AM80,AO80,AQ80,AS80)</f>
        <v>0</v>
      </c>
      <c r="AV80" s="89">
        <f>+AU80/24</f>
        <v>0</v>
      </c>
      <c r="AW80" s="257">
        <f>SUM(AN80,AP80,AR80,AT80)</f>
        <v>0</v>
      </c>
      <c r="AX80" s="79">
        <f>+AW80/24</f>
        <v>0</v>
      </c>
      <c r="AY80" s="259">
        <f t="shared" si="45"/>
        <v>2163.6666666666665</v>
      </c>
      <c r="AZ80" s="79">
        <f t="shared" si="46"/>
        <v>2409.0666666666666</v>
      </c>
      <c r="BA80" s="677"/>
    </row>
    <row r="81" spans="1:53">
      <c r="A81" s="278" t="s">
        <v>647</v>
      </c>
      <c r="B81" s="474" t="s">
        <v>652</v>
      </c>
      <c r="C81" s="475">
        <v>133951</v>
      </c>
      <c r="D81" s="476">
        <v>1</v>
      </c>
      <c r="E81" s="148" t="s">
        <v>393</v>
      </c>
      <c r="F81" s="477" t="s">
        <v>393</v>
      </c>
      <c r="G81" s="78"/>
      <c r="H81" s="675"/>
      <c r="I81" s="683">
        <v>327861</v>
      </c>
      <c r="J81" s="678">
        <v>324690</v>
      </c>
      <c r="K81" s="683">
        <v>152635</v>
      </c>
      <c r="L81" s="678">
        <v>149818</v>
      </c>
      <c r="M81" s="683">
        <v>348970</v>
      </c>
      <c r="N81" s="678">
        <v>353000</v>
      </c>
      <c r="O81" s="256">
        <f t="shared" si="29"/>
        <v>829466</v>
      </c>
      <c r="P81" s="89">
        <f t="shared" si="30"/>
        <v>27648.866666666665</v>
      </c>
      <c r="Q81" s="257">
        <f t="shared" si="31"/>
        <v>827508</v>
      </c>
      <c r="R81" s="79">
        <f t="shared" si="32"/>
        <v>27583.599999999999</v>
      </c>
      <c r="S81" s="684">
        <v>9489</v>
      </c>
      <c r="T81" s="678">
        <v>10640</v>
      </c>
      <c r="U81" s="256">
        <f t="shared" si="33"/>
        <v>829466</v>
      </c>
      <c r="V81" s="434">
        <f t="shared" si="34"/>
        <v>827508</v>
      </c>
      <c r="W81" s="78"/>
      <c r="X81" s="675"/>
      <c r="Y81" s="78"/>
      <c r="Z81" s="675"/>
      <c r="AA81" s="78"/>
      <c r="AB81" s="675"/>
      <c r="AC81" s="78"/>
      <c r="AD81" s="675"/>
      <c r="AE81" s="256">
        <f t="shared" si="35"/>
        <v>0</v>
      </c>
      <c r="AF81" s="89">
        <f t="shared" si="36"/>
        <v>0</v>
      </c>
      <c r="AG81" s="257">
        <f t="shared" si="37"/>
        <v>0</v>
      </c>
      <c r="AH81" s="79">
        <f t="shared" si="38"/>
        <v>0</v>
      </c>
      <c r="AI81" s="78"/>
      <c r="AJ81" s="675"/>
      <c r="AK81" s="256">
        <f t="shared" si="39"/>
        <v>0</v>
      </c>
      <c r="AL81" s="434">
        <f t="shared" si="40"/>
        <v>0</v>
      </c>
      <c r="AM81" s="78"/>
      <c r="AN81" s="675"/>
      <c r="AO81" s="684">
        <v>56152</v>
      </c>
      <c r="AP81" s="678">
        <v>59009</v>
      </c>
      <c r="AQ81" s="684">
        <v>31872</v>
      </c>
      <c r="AR81" s="678">
        <v>33058</v>
      </c>
      <c r="AS81" s="684">
        <v>58124</v>
      </c>
      <c r="AT81" s="678">
        <v>66911</v>
      </c>
      <c r="AU81" s="258">
        <f t="shared" si="41"/>
        <v>146148</v>
      </c>
      <c r="AV81" s="89">
        <f t="shared" si="42"/>
        <v>6089.5</v>
      </c>
      <c r="AW81" s="257">
        <f t="shared" si="43"/>
        <v>158978</v>
      </c>
      <c r="AX81" s="79">
        <f t="shared" si="44"/>
        <v>6624.083333333333</v>
      </c>
      <c r="AY81" s="259">
        <f t="shared" si="45"/>
        <v>33738.366666666669</v>
      </c>
      <c r="AZ81" s="79">
        <f t="shared" si="46"/>
        <v>34207.683333333334</v>
      </c>
      <c r="BA81" s="680"/>
    </row>
    <row r="82" spans="1:53">
      <c r="A82" s="278" t="s">
        <v>647</v>
      </c>
      <c r="B82" s="277" t="s">
        <v>648</v>
      </c>
      <c r="C82" s="278">
        <v>134097</v>
      </c>
      <c r="D82" s="153">
        <v>1</v>
      </c>
      <c r="E82" s="148" t="s">
        <v>393</v>
      </c>
      <c r="F82" s="477" t="s">
        <v>393</v>
      </c>
      <c r="G82" s="78"/>
      <c r="H82" s="675"/>
      <c r="I82" s="683">
        <v>392813</v>
      </c>
      <c r="J82" s="678">
        <v>373884</v>
      </c>
      <c r="K82" s="683">
        <v>129070</v>
      </c>
      <c r="L82" s="678">
        <v>130017</v>
      </c>
      <c r="M82" s="683">
        <v>426688</v>
      </c>
      <c r="N82" s="678">
        <v>447045</v>
      </c>
      <c r="O82" s="256">
        <f t="shared" si="29"/>
        <v>948571</v>
      </c>
      <c r="P82" s="390">
        <f t="shared" si="30"/>
        <v>31619.033333333333</v>
      </c>
      <c r="Q82" s="257">
        <f t="shared" si="31"/>
        <v>950946</v>
      </c>
      <c r="R82" s="79">
        <f t="shared" si="32"/>
        <v>31698.2</v>
      </c>
      <c r="S82" s="684">
        <v>1209</v>
      </c>
      <c r="T82" s="678">
        <v>1323</v>
      </c>
      <c r="U82" s="256">
        <f t="shared" si="33"/>
        <v>948571</v>
      </c>
      <c r="V82" s="434">
        <f t="shared" si="34"/>
        <v>950946</v>
      </c>
      <c r="W82" s="78"/>
      <c r="X82" s="675"/>
      <c r="Y82" s="78"/>
      <c r="Z82" s="675"/>
      <c r="AA82" s="78"/>
      <c r="AB82" s="675"/>
      <c r="AC82" s="78"/>
      <c r="AD82" s="675"/>
      <c r="AE82" s="256">
        <f t="shared" si="35"/>
        <v>0</v>
      </c>
      <c r="AF82" s="89">
        <f t="shared" si="36"/>
        <v>0</v>
      </c>
      <c r="AG82" s="257">
        <f t="shared" si="37"/>
        <v>0</v>
      </c>
      <c r="AH82" s="79">
        <f t="shared" si="38"/>
        <v>0</v>
      </c>
      <c r="AI82" s="78"/>
      <c r="AJ82" s="675"/>
      <c r="AK82" s="256">
        <f t="shared" si="39"/>
        <v>0</v>
      </c>
      <c r="AL82" s="434">
        <f t="shared" si="40"/>
        <v>0</v>
      </c>
      <c r="AM82" s="78"/>
      <c r="AN82" s="675"/>
      <c r="AO82" s="684">
        <v>70508</v>
      </c>
      <c r="AP82" s="678">
        <v>71373</v>
      </c>
      <c r="AQ82" s="684">
        <v>38757</v>
      </c>
      <c r="AR82" s="678">
        <v>39707</v>
      </c>
      <c r="AS82" s="684">
        <v>73159</v>
      </c>
      <c r="AT82" s="678">
        <v>74807</v>
      </c>
      <c r="AU82" s="258">
        <f t="shared" si="41"/>
        <v>182424</v>
      </c>
      <c r="AV82" s="89">
        <f t="shared" si="42"/>
        <v>7601</v>
      </c>
      <c r="AW82" s="257">
        <f t="shared" si="43"/>
        <v>185887</v>
      </c>
      <c r="AX82" s="79">
        <f t="shared" si="44"/>
        <v>7745.291666666667</v>
      </c>
      <c r="AY82" s="259">
        <f t="shared" si="45"/>
        <v>39220.033333333333</v>
      </c>
      <c r="AZ82" s="79">
        <f t="shared" si="46"/>
        <v>39443.491666666669</v>
      </c>
      <c r="BA82" s="680"/>
    </row>
    <row r="83" spans="1:53">
      <c r="A83" s="278" t="s">
        <v>647</v>
      </c>
      <c r="B83" s="277" t="s">
        <v>653</v>
      </c>
      <c r="C83" s="278">
        <v>132903</v>
      </c>
      <c r="D83" s="153">
        <v>1</v>
      </c>
      <c r="E83" s="148" t="s">
        <v>393</v>
      </c>
      <c r="F83" s="477" t="s">
        <v>393</v>
      </c>
      <c r="G83" s="78"/>
      <c r="H83" s="675"/>
      <c r="I83" s="683">
        <v>475152</v>
      </c>
      <c r="J83" s="678">
        <v>493586</v>
      </c>
      <c r="K83" s="683">
        <v>175333</v>
      </c>
      <c r="L83" s="678">
        <v>177413</v>
      </c>
      <c r="M83" s="683">
        <v>510196</v>
      </c>
      <c r="N83" s="678">
        <v>539657</v>
      </c>
      <c r="O83" s="256">
        <f t="shared" si="29"/>
        <v>1160681</v>
      </c>
      <c r="P83" s="89">
        <f t="shared" si="30"/>
        <v>38689.366666666669</v>
      </c>
      <c r="Q83" s="257">
        <f t="shared" si="31"/>
        <v>1210656</v>
      </c>
      <c r="R83" s="79">
        <f t="shared" si="32"/>
        <v>40355.199999999997</v>
      </c>
      <c r="S83" s="684">
        <v>650</v>
      </c>
      <c r="T83" s="678">
        <v>501</v>
      </c>
      <c r="U83" s="256">
        <f t="shared" si="33"/>
        <v>1160681</v>
      </c>
      <c r="V83" s="434">
        <f t="shared" si="34"/>
        <v>1210656</v>
      </c>
      <c r="W83" s="78"/>
      <c r="X83" s="675"/>
      <c r="Y83" s="78"/>
      <c r="Z83" s="675"/>
      <c r="AA83" s="78"/>
      <c r="AB83" s="675"/>
      <c r="AC83" s="78"/>
      <c r="AD83" s="675"/>
      <c r="AE83" s="256">
        <f t="shared" si="35"/>
        <v>0</v>
      </c>
      <c r="AF83" s="89">
        <f t="shared" si="36"/>
        <v>0</v>
      </c>
      <c r="AG83" s="257">
        <f t="shared" si="37"/>
        <v>0</v>
      </c>
      <c r="AH83" s="79">
        <f t="shared" si="38"/>
        <v>0</v>
      </c>
      <c r="AI83" s="78"/>
      <c r="AJ83" s="675"/>
      <c r="AK83" s="256">
        <f t="shared" si="39"/>
        <v>0</v>
      </c>
      <c r="AL83" s="434">
        <f t="shared" si="40"/>
        <v>0</v>
      </c>
      <c r="AM83" s="78"/>
      <c r="AN83" s="675"/>
      <c r="AO83" s="684">
        <v>43766</v>
      </c>
      <c r="AP83" s="678">
        <v>47430</v>
      </c>
      <c r="AQ83" s="684">
        <v>24346</v>
      </c>
      <c r="AR83" s="678">
        <v>27059</v>
      </c>
      <c r="AS83" s="684">
        <v>48459</v>
      </c>
      <c r="AT83" s="678">
        <v>54754</v>
      </c>
      <c r="AU83" s="258">
        <f t="shared" si="41"/>
        <v>116571</v>
      </c>
      <c r="AV83" s="89">
        <f t="shared" si="42"/>
        <v>4857.125</v>
      </c>
      <c r="AW83" s="257">
        <f t="shared" si="43"/>
        <v>129243</v>
      </c>
      <c r="AX83" s="79">
        <f t="shared" si="44"/>
        <v>5385.125</v>
      </c>
      <c r="AY83" s="259">
        <f t="shared" si="45"/>
        <v>43546.491666666669</v>
      </c>
      <c r="AZ83" s="79">
        <f t="shared" si="46"/>
        <v>45740.324999999997</v>
      </c>
      <c r="BA83" s="680"/>
    </row>
    <row r="84" spans="1:53">
      <c r="A84" s="278" t="s">
        <v>647</v>
      </c>
      <c r="B84" s="277" t="s">
        <v>649</v>
      </c>
      <c r="C84" s="278">
        <v>134130</v>
      </c>
      <c r="D84" s="153">
        <v>1</v>
      </c>
      <c r="E84" s="148" t="s">
        <v>393</v>
      </c>
      <c r="F84" s="477" t="s">
        <v>393</v>
      </c>
      <c r="G84" s="78"/>
      <c r="H84" s="675"/>
      <c r="I84" s="683">
        <v>454614</v>
      </c>
      <c r="J84" s="678">
        <v>443102</v>
      </c>
      <c r="K84" s="683">
        <v>129962</v>
      </c>
      <c r="L84" s="678">
        <v>125275</v>
      </c>
      <c r="M84" s="683">
        <v>468688</v>
      </c>
      <c r="N84" s="678">
        <v>452631</v>
      </c>
      <c r="O84" s="256">
        <f t="shared" si="29"/>
        <v>1053264</v>
      </c>
      <c r="P84" s="89">
        <f t="shared" si="30"/>
        <v>35108.800000000003</v>
      </c>
      <c r="Q84" s="257">
        <f t="shared" si="31"/>
        <v>1021008</v>
      </c>
      <c r="R84" s="79">
        <f t="shared" si="32"/>
        <v>34033.599999999999</v>
      </c>
      <c r="S84" s="684">
        <v>1059</v>
      </c>
      <c r="T84" s="678">
        <v>884</v>
      </c>
      <c r="U84" s="256">
        <f t="shared" si="33"/>
        <v>1053264</v>
      </c>
      <c r="V84" s="434">
        <f t="shared" si="34"/>
        <v>1021008</v>
      </c>
      <c r="W84" s="78"/>
      <c r="X84" s="675"/>
      <c r="Y84" s="78"/>
      <c r="Z84" s="675"/>
      <c r="AA84" s="78"/>
      <c r="AB84" s="675"/>
      <c r="AC84" s="78"/>
      <c r="AD84" s="675"/>
      <c r="AE84" s="256">
        <f t="shared" si="35"/>
        <v>0</v>
      </c>
      <c r="AF84" s="89">
        <f t="shared" si="36"/>
        <v>0</v>
      </c>
      <c r="AG84" s="257">
        <f t="shared" si="37"/>
        <v>0</v>
      </c>
      <c r="AH84" s="79">
        <f t="shared" si="38"/>
        <v>0</v>
      </c>
      <c r="AI84" s="78"/>
      <c r="AJ84" s="675"/>
      <c r="AK84" s="256">
        <f t="shared" si="39"/>
        <v>0</v>
      </c>
      <c r="AL84" s="434">
        <f t="shared" si="40"/>
        <v>0</v>
      </c>
      <c r="AM84" s="78"/>
      <c r="AN84" s="675"/>
      <c r="AO84" s="684">
        <v>140176</v>
      </c>
      <c r="AP84" s="678">
        <v>142828</v>
      </c>
      <c r="AQ84" s="684">
        <v>62921</v>
      </c>
      <c r="AR84" s="678">
        <v>62725</v>
      </c>
      <c r="AS84" s="684">
        <v>152493</v>
      </c>
      <c r="AT84" s="678">
        <v>151822</v>
      </c>
      <c r="AU84" s="258">
        <f t="shared" si="41"/>
        <v>355590</v>
      </c>
      <c r="AV84" s="89">
        <f t="shared" si="42"/>
        <v>14816.25</v>
      </c>
      <c r="AW84" s="257">
        <f t="shared" si="43"/>
        <v>357375</v>
      </c>
      <c r="AX84" s="79">
        <f t="shared" si="44"/>
        <v>14890.625</v>
      </c>
      <c r="AY84" s="259">
        <f t="shared" si="45"/>
        <v>49925.05</v>
      </c>
      <c r="AZ84" s="79">
        <f t="shared" si="46"/>
        <v>48924.224999999999</v>
      </c>
      <c r="BA84" s="680"/>
    </row>
    <row r="85" spans="1:53">
      <c r="A85" s="278" t="s">
        <v>647</v>
      </c>
      <c r="B85" s="277" t="s">
        <v>650</v>
      </c>
      <c r="C85" s="278">
        <v>137351</v>
      </c>
      <c r="D85" s="153">
        <v>1</v>
      </c>
      <c r="E85" s="148" t="s">
        <v>393</v>
      </c>
      <c r="F85" s="477" t="s">
        <v>393</v>
      </c>
      <c r="G85" s="78"/>
      <c r="H85" s="675"/>
      <c r="I85" s="683">
        <v>394583</v>
      </c>
      <c r="J85" s="678">
        <v>400355</v>
      </c>
      <c r="K85" s="683">
        <v>140834</v>
      </c>
      <c r="L85" s="678">
        <v>150205</v>
      </c>
      <c r="M85" s="683">
        <v>425141</v>
      </c>
      <c r="N85" s="678">
        <v>436751</v>
      </c>
      <c r="O85" s="256">
        <f t="shared" si="29"/>
        <v>960558</v>
      </c>
      <c r="P85" s="89">
        <f t="shared" si="30"/>
        <v>32018.6</v>
      </c>
      <c r="Q85" s="257">
        <f t="shared" si="31"/>
        <v>987311</v>
      </c>
      <c r="R85" s="79">
        <f t="shared" si="32"/>
        <v>32910.366666666669</v>
      </c>
      <c r="S85" s="684">
        <v>18354</v>
      </c>
      <c r="T85" s="678">
        <v>22647</v>
      </c>
      <c r="U85" s="256">
        <f t="shared" si="33"/>
        <v>960558</v>
      </c>
      <c r="V85" s="434">
        <f t="shared" si="34"/>
        <v>987311</v>
      </c>
      <c r="W85" s="78"/>
      <c r="X85" s="675"/>
      <c r="Y85" s="78"/>
      <c r="Z85" s="675"/>
      <c r="AA85" s="78"/>
      <c r="AB85" s="675"/>
      <c r="AC85" s="78"/>
      <c r="AD85" s="675"/>
      <c r="AE85" s="256">
        <f t="shared" si="35"/>
        <v>0</v>
      </c>
      <c r="AF85" s="89">
        <f t="shared" si="36"/>
        <v>0</v>
      </c>
      <c r="AG85" s="257">
        <f t="shared" si="37"/>
        <v>0</v>
      </c>
      <c r="AH85" s="79">
        <f t="shared" si="38"/>
        <v>0</v>
      </c>
      <c r="AI85" s="78"/>
      <c r="AJ85" s="675"/>
      <c r="AK85" s="256">
        <f t="shared" si="39"/>
        <v>0</v>
      </c>
      <c r="AL85" s="434">
        <f t="shared" si="40"/>
        <v>0</v>
      </c>
      <c r="AM85" s="78"/>
      <c r="AN85" s="675"/>
      <c r="AO85" s="684">
        <v>68068</v>
      </c>
      <c r="AP85" s="678">
        <v>72441</v>
      </c>
      <c r="AQ85" s="684">
        <v>36445</v>
      </c>
      <c r="AR85" s="678">
        <v>39305</v>
      </c>
      <c r="AS85" s="684">
        <v>72850</v>
      </c>
      <c r="AT85" s="678">
        <v>77334</v>
      </c>
      <c r="AU85" s="258">
        <f t="shared" si="41"/>
        <v>177363</v>
      </c>
      <c r="AV85" s="89">
        <f t="shared" si="42"/>
        <v>7390.125</v>
      </c>
      <c r="AW85" s="257">
        <f t="shared" si="43"/>
        <v>189080</v>
      </c>
      <c r="AX85" s="79">
        <f t="shared" si="44"/>
        <v>7878.333333333333</v>
      </c>
      <c r="AY85" s="259">
        <f t="shared" si="45"/>
        <v>39408.724999999999</v>
      </c>
      <c r="AZ85" s="79">
        <f t="shared" si="46"/>
        <v>40788.700000000004</v>
      </c>
      <c r="BA85" s="680"/>
    </row>
    <row r="86" spans="1:53">
      <c r="A86" s="278" t="s">
        <v>647</v>
      </c>
      <c r="B86" s="277" t="s">
        <v>651</v>
      </c>
      <c r="C86" s="278">
        <v>133669</v>
      </c>
      <c r="D86" s="153">
        <v>2</v>
      </c>
      <c r="E86" s="148" t="s">
        <v>393</v>
      </c>
      <c r="F86" s="477" t="s">
        <v>393</v>
      </c>
      <c r="G86" s="78"/>
      <c r="H86" s="675"/>
      <c r="I86" s="683">
        <v>210274</v>
      </c>
      <c r="J86" s="678">
        <v>215843</v>
      </c>
      <c r="K86" s="683">
        <v>77775</v>
      </c>
      <c r="L86" s="678">
        <v>82644</v>
      </c>
      <c r="M86" s="683">
        <v>231517</v>
      </c>
      <c r="N86" s="678">
        <v>240567</v>
      </c>
      <c r="O86" s="256">
        <f t="shared" si="29"/>
        <v>519566</v>
      </c>
      <c r="P86" s="89">
        <f t="shared" si="30"/>
        <v>17318.866666666665</v>
      </c>
      <c r="Q86" s="257">
        <f t="shared" si="31"/>
        <v>539054</v>
      </c>
      <c r="R86" s="79">
        <f t="shared" si="32"/>
        <v>17968.466666666667</v>
      </c>
      <c r="S86" s="684">
        <v>3934</v>
      </c>
      <c r="T86" s="678">
        <v>4408</v>
      </c>
      <c r="U86" s="256">
        <f t="shared" si="33"/>
        <v>519566</v>
      </c>
      <c r="V86" s="434">
        <f t="shared" si="34"/>
        <v>539054</v>
      </c>
      <c r="W86" s="78"/>
      <c r="X86" s="675"/>
      <c r="Y86" s="78"/>
      <c r="Z86" s="675"/>
      <c r="AA86" s="78"/>
      <c r="AB86" s="675"/>
      <c r="AC86" s="78"/>
      <c r="AD86" s="675"/>
      <c r="AE86" s="256">
        <f t="shared" si="35"/>
        <v>0</v>
      </c>
      <c r="AF86" s="89">
        <f t="shared" si="36"/>
        <v>0</v>
      </c>
      <c r="AG86" s="257">
        <f t="shared" si="37"/>
        <v>0</v>
      </c>
      <c r="AH86" s="79">
        <f t="shared" si="38"/>
        <v>0</v>
      </c>
      <c r="AI86" s="78"/>
      <c r="AJ86" s="675"/>
      <c r="AK86" s="256">
        <f t="shared" si="39"/>
        <v>0</v>
      </c>
      <c r="AL86" s="434">
        <f t="shared" si="40"/>
        <v>0</v>
      </c>
      <c r="AM86" s="78"/>
      <c r="AN86" s="675"/>
      <c r="AO86" s="684">
        <v>27875</v>
      </c>
      <c r="AP86" s="678">
        <v>29154</v>
      </c>
      <c r="AQ86" s="684">
        <v>18507</v>
      </c>
      <c r="AR86" s="678">
        <v>18610</v>
      </c>
      <c r="AS86" s="684">
        <v>29874</v>
      </c>
      <c r="AT86" s="678">
        <v>30833</v>
      </c>
      <c r="AU86" s="258">
        <f t="shared" si="41"/>
        <v>76256</v>
      </c>
      <c r="AV86" s="89">
        <f t="shared" si="42"/>
        <v>3177.3333333333335</v>
      </c>
      <c r="AW86" s="257">
        <f t="shared" si="43"/>
        <v>78597</v>
      </c>
      <c r="AX86" s="79">
        <f t="shared" si="44"/>
        <v>3274.875</v>
      </c>
      <c r="AY86" s="259">
        <f t="shared" si="45"/>
        <v>20496.199999999997</v>
      </c>
      <c r="AZ86" s="79">
        <f t="shared" si="46"/>
        <v>21243.341666666667</v>
      </c>
      <c r="BA86" s="680"/>
    </row>
    <row r="87" spans="1:53">
      <c r="A87" s="278" t="s">
        <v>647</v>
      </c>
      <c r="B87" s="277" t="s">
        <v>654</v>
      </c>
      <c r="C87" s="278">
        <v>133650</v>
      </c>
      <c r="D87" s="153">
        <v>3</v>
      </c>
      <c r="E87" s="148" t="s">
        <v>393</v>
      </c>
      <c r="F87" s="477" t="s">
        <v>393</v>
      </c>
      <c r="G87" s="78"/>
      <c r="H87" s="675"/>
      <c r="I87" s="683">
        <v>121162</v>
      </c>
      <c r="J87" s="678">
        <v>121205</v>
      </c>
      <c r="K87" s="683">
        <v>33039</v>
      </c>
      <c r="L87" s="678">
        <v>33940</v>
      </c>
      <c r="M87" s="683">
        <v>135235</v>
      </c>
      <c r="N87" s="678">
        <v>140384</v>
      </c>
      <c r="O87" s="256">
        <f t="shared" si="29"/>
        <v>289436</v>
      </c>
      <c r="P87" s="89">
        <f t="shared" si="30"/>
        <v>9647.8666666666668</v>
      </c>
      <c r="Q87" s="257">
        <f t="shared" si="31"/>
        <v>295529</v>
      </c>
      <c r="R87" s="79">
        <f t="shared" si="32"/>
        <v>9850.9666666666672</v>
      </c>
      <c r="S87" s="684">
        <v>2729</v>
      </c>
      <c r="T87" s="678">
        <v>2507</v>
      </c>
      <c r="U87" s="256">
        <f t="shared" si="33"/>
        <v>289436</v>
      </c>
      <c r="V87" s="434">
        <f t="shared" si="34"/>
        <v>295529</v>
      </c>
      <c r="W87" s="78"/>
      <c r="X87" s="675"/>
      <c r="Y87" s="78"/>
      <c r="Z87" s="675"/>
      <c r="AA87" s="78"/>
      <c r="AB87" s="675"/>
      <c r="AC87" s="78"/>
      <c r="AD87" s="675"/>
      <c r="AE87" s="256">
        <f t="shared" si="35"/>
        <v>0</v>
      </c>
      <c r="AF87" s="89">
        <f t="shared" si="36"/>
        <v>0</v>
      </c>
      <c r="AG87" s="257">
        <f t="shared" si="37"/>
        <v>0</v>
      </c>
      <c r="AH87" s="79">
        <f t="shared" si="38"/>
        <v>0</v>
      </c>
      <c r="AI87" s="78"/>
      <c r="AJ87" s="675"/>
      <c r="AK87" s="256">
        <f t="shared" si="39"/>
        <v>0</v>
      </c>
      <c r="AL87" s="434">
        <f t="shared" si="40"/>
        <v>0</v>
      </c>
      <c r="AM87" s="78"/>
      <c r="AN87" s="675"/>
      <c r="AO87" s="684">
        <v>18795</v>
      </c>
      <c r="AP87" s="678">
        <v>20419</v>
      </c>
      <c r="AQ87" s="684">
        <v>6920</v>
      </c>
      <c r="AR87" s="678">
        <v>7522</v>
      </c>
      <c r="AS87" s="684">
        <v>21224</v>
      </c>
      <c r="AT87" s="678">
        <v>21414</v>
      </c>
      <c r="AU87" s="258">
        <f t="shared" si="41"/>
        <v>46939</v>
      </c>
      <c r="AV87" s="89">
        <f t="shared" si="42"/>
        <v>1955.7916666666667</v>
      </c>
      <c r="AW87" s="257">
        <f t="shared" si="43"/>
        <v>49355</v>
      </c>
      <c r="AX87" s="79">
        <f t="shared" si="44"/>
        <v>2056.4583333333335</v>
      </c>
      <c r="AY87" s="259">
        <f t="shared" si="45"/>
        <v>11603.658333333333</v>
      </c>
      <c r="AZ87" s="79">
        <f t="shared" si="46"/>
        <v>11907.425000000001</v>
      </c>
      <c r="BA87" s="680"/>
    </row>
    <row r="88" spans="1:53">
      <c r="A88" s="278" t="s">
        <v>647</v>
      </c>
      <c r="B88" s="277" t="s">
        <v>655</v>
      </c>
      <c r="C88" s="278">
        <v>136172</v>
      </c>
      <c r="D88" s="153">
        <v>3</v>
      </c>
      <c r="E88" s="148" t="s">
        <v>393</v>
      </c>
      <c r="F88" s="477" t="s">
        <v>393</v>
      </c>
      <c r="G88" s="78"/>
      <c r="H88" s="675"/>
      <c r="I88" s="683">
        <v>158205</v>
      </c>
      <c r="J88" s="678">
        <v>149960</v>
      </c>
      <c r="K88" s="683">
        <v>56563</v>
      </c>
      <c r="L88" s="678">
        <v>58048</v>
      </c>
      <c r="M88" s="683">
        <v>157645</v>
      </c>
      <c r="N88" s="678">
        <v>170160</v>
      </c>
      <c r="O88" s="256">
        <f t="shared" si="29"/>
        <v>372413</v>
      </c>
      <c r="P88" s="89">
        <f t="shared" si="30"/>
        <v>12413.766666666666</v>
      </c>
      <c r="Q88" s="257">
        <f t="shared" si="31"/>
        <v>378168</v>
      </c>
      <c r="R88" s="79">
        <f t="shared" si="32"/>
        <v>12605.6</v>
      </c>
      <c r="S88" s="684">
        <v>8351</v>
      </c>
      <c r="T88" s="678">
        <v>6792</v>
      </c>
      <c r="U88" s="256">
        <f t="shared" si="33"/>
        <v>372413</v>
      </c>
      <c r="V88" s="434">
        <f t="shared" si="34"/>
        <v>378168</v>
      </c>
      <c r="W88" s="78"/>
      <c r="X88" s="675"/>
      <c r="Y88" s="78"/>
      <c r="Z88" s="675"/>
      <c r="AA88" s="78"/>
      <c r="AB88" s="675"/>
      <c r="AC88" s="78"/>
      <c r="AD88" s="675"/>
      <c r="AE88" s="256">
        <f t="shared" si="35"/>
        <v>0</v>
      </c>
      <c r="AF88" s="89">
        <f t="shared" si="36"/>
        <v>0</v>
      </c>
      <c r="AG88" s="257">
        <f t="shared" si="37"/>
        <v>0</v>
      </c>
      <c r="AH88" s="79">
        <f t="shared" si="38"/>
        <v>0</v>
      </c>
      <c r="AI88" s="78"/>
      <c r="AJ88" s="675"/>
      <c r="AK88" s="256">
        <f t="shared" si="39"/>
        <v>0</v>
      </c>
      <c r="AL88" s="434">
        <f t="shared" si="40"/>
        <v>0</v>
      </c>
      <c r="AM88" s="78"/>
      <c r="AN88" s="675"/>
      <c r="AO88" s="684">
        <v>11712</v>
      </c>
      <c r="AP88" s="678">
        <v>12089</v>
      </c>
      <c r="AQ88" s="684">
        <v>8294</v>
      </c>
      <c r="AR88" s="678">
        <v>7014</v>
      </c>
      <c r="AS88" s="684">
        <v>13201</v>
      </c>
      <c r="AT88" s="678">
        <v>14048</v>
      </c>
      <c r="AU88" s="258">
        <f t="shared" si="41"/>
        <v>33207</v>
      </c>
      <c r="AV88" s="89">
        <f t="shared" si="42"/>
        <v>1383.625</v>
      </c>
      <c r="AW88" s="257">
        <f t="shared" si="43"/>
        <v>33151</v>
      </c>
      <c r="AX88" s="79">
        <f t="shared" si="44"/>
        <v>1381.2916666666667</v>
      </c>
      <c r="AY88" s="259">
        <f t="shared" si="45"/>
        <v>13797.391666666666</v>
      </c>
      <c r="AZ88" s="79">
        <f t="shared" si="46"/>
        <v>13986.891666666666</v>
      </c>
      <c r="BA88" s="680"/>
    </row>
    <row r="89" spans="1:53">
      <c r="A89" s="278" t="s">
        <v>647</v>
      </c>
      <c r="B89" s="277" t="s">
        <v>656</v>
      </c>
      <c r="C89" s="278">
        <v>138354</v>
      </c>
      <c r="D89" s="153">
        <v>3</v>
      </c>
      <c r="E89" s="148" t="s">
        <v>393</v>
      </c>
      <c r="F89" s="477" t="s">
        <v>393</v>
      </c>
      <c r="G89" s="78"/>
      <c r="H89" s="675"/>
      <c r="I89" s="683">
        <v>93046</v>
      </c>
      <c r="J89" s="678">
        <v>92618</v>
      </c>
      <c r="K89" s="683">
        <v>33630</v>
      </c>
      <c r="L89" s="678">
        <v>34966</v>
      </c>
      <c r="M89" s="683">
        <v>99545</v>
      </c>
      <c r="N89" s="678">
        <v>103886</v>
      </c>
      <c r="O89" s="256">
        <f t="shared" si="29"/>
        <v>226221</v>
      </c>
      <c r="P89" s="89">
        <f t="shared" si="30"/>
        <v>7540.7</v>
      </c>
      <c r="Q89" s="257">
        <f t="shared" si="31"/>
        <v>231470</v>
      </c>
      <c r="R89" s="79">
        <f t="shared" si="32"/>
        <v>7715.666666666667</v>
      </c>
      <c r="S89" s="684">
        <v>240</v>
      </c>
      <c r="T89" s="678">
        <v>402</v>
      </c>
      <c r="U89" s="256">
        <f t="shared" si="33"/>
        <v>226221</v>
      </c>
      <c r="V89" s="434">
        <f t="shared" si="34"/>
        <v>231470</v>
      </c>
      <c r="W89" s="78"/>
      <c r="X89" s="675"/>
      <c r="Y89" s="78"/>
      <c r="Z89" s="675"/>
      <c r="AA89" s="78"/>
      <c r="AB89" s="675"/>
      <c r="AC89" s="78"/>
      <c r="AD89" s="675"/>
      <c r="AE89" s="256">
        <f t="shared" si="35"/>
        <v>0</v>
      </c>
      <c r="AF89" s="89">
        <f t="shared" si="36"/>
        <v>0</v>
      </c>
      <c r="AG89" s="257">
        <f t="shared" si="37"/>
        <v>0</v>
      </c>
      <c r="AH89" s="79">
        <f t="shared" si="38"/>
        <v>0</v>
      </c>
      <c r="AI89" s="78"/>
      <c r="AJ89" s="675"/>
      <c r="AK89" s="256">
        <f t="shared" si="39"/>
        <v>0</v>
      </c>
      <c r="AL89" s="434">
        <f t="shared" si="40"/>
        <v>0</v>
      </c>
      <c r="AM89" s="78"/>
      <c r="AN89" s="675"/>
      <c r="AO89" s="684">
        <v>8502</v>
      </c>
      <c r="AP89" s="678">
        <v>10219</v>
      </c>
      <c r="AQ89" s="684">
        <v>7092</v>
      </c>
      <c r="AR89" s="678">
        <v>7333</v>
      </c>
      <c r="AS89" s="684">
        <v>9517</v>
      </c>
      <c r="AT89" s="678">
        <v>11799</v>
      </c>
      <c r="AU89" s="258">
        <f t="shared" si="41"/>
        <v>25111</v>
      </c>
      <c r="AV89" s="89">
        <f t="shared" si="42"/>
        <v>1046.2916666666667</v>
      </c>
      <c r="AW89" s="257">
        <f t="shared" si="43"/>
        <v>29351</v>
      </c>
      <c r="AX89" s="79">
        <f t="shared" si="44"/>
        <v>1222.9583333333333</v>
      </c>
      <c r="AY89" s="259">
        <f t="shared" si="45"/>
        <v>8586.9916666666668</v>
      </c>
      <c r="AZ89" s="79">
        <f t="shared" si="46"/>
        <v>8938.625</v>
      </c>
      <c r="BA89" s="680"/>
    </row>
    <row r="90" spans="1:53">
      <c r="A90" s="278" t="s">
        <v>647</v>
      </c>
      <c r="B90" s="277" t="s">
        <v>657</v>
      </c>
      <c r="C90" s="278">
        <v>433660</v>
      </c>
      <c r="D90" s="153">
        <v>4</v>
      </c>
      <c r="E90" s="148" t="s">
        <v>393</v>
      </c>
      <c r="F90" s="477" t="s">
        <v>393</v>
      </c>
      <c r="G90" s="78"/>
      <c r="H90" s="675"/>
      <c r="I90" s="683">
        <v>92415</v>
      </c>
      <c r="J90" s="678">
        <v>102782</v>
      </c>
      <c r="K90" s="683">
        <v>24463</v>
      </c>
      <c r="L90" s="678">
        <v>25148</v>
      </c>
      <c r="M90" s="683">
        <v>107932</v>
      </c>
      <c r="N90" s="678">
        <v>119898</v>
      </c>
      <c r="O90" s="256">
        <f t="shared" si="29"/>
        <v>224810</v>
      </c>
      <c r="P90" s="89">
        <f t="shared" si="30"/>
        <v>7493.666666666667</v>
      </c>
      <c r="Q90" s="257">
        <f t="shared" si="31"/>
        <v>247828</v>
      </c>
      <c r="R90" s="79">
        <f t="shared" si="32"/>
        <v>8260.9333333333325</v>
      </c>
      <c r="S90" s="684">
        <v>1673</v>
      </c>
      <c r="T90" s="678">
        <v>1977</v>
      </c>
      <c r="U90" s="256">
        <f t="shared" si="33"/>
        <v>224810</v>
      </c>
      <c r="V90" s="434">
        <f t="shared" si="34"/>
        <v>247828</v>
      </c>
      <c r="W90" s="78"/>
      <c r="X90" s="675"/>
      <c r="Y90" s="78"/>
      <c r="Z90" s="675"/>
      <c r="AA90" s="78"/>
      <c r="AB90" s="675"/>
      <c r="AC90" s="78"/>
      <c r="AD90" s="675"/>
      <c r="AE90" s="256">
        <f t="shared" si="35"/>
        <v>0</v>
      </c>
      <c r="AF90" s="89">
        <f t="shared" si="36"/>
        <v>0</v>
      </c>
      <c r="AG90" s="257">
        <f t="shared" si="37"/>
        <v>0</v>
      </c>
      <c r="AH90" s="79">
        <f t="shared" si="38"/>
        <v>0</v>
      </c>
      <c r="AI90" s="78"/>
      <c r="AJ90" s="675"/>
      <c r="AK90" s="256">
        <f t="shared" si="39"/>
        <v>0</v>
      </c>
      <c r="AL90" s="434">
        <f t="shared" si="40"/>
        <v>0</v>
      </c>
      <c r="AM90" s="78"/>
      <c r="AN90" s="675"/>
      <c r="AO90" s="684">
        <v>6781</v>
      </c>
      <c r="AP90" s="678">
        <v>7947</v>
      </c>
      <c r="AQ90" s="684">
        <v>4370</v>
      </c>
      <c r="AR90" s="678">
        <v>4716</v>
      </c>
      <c r="AS90" s="684">
        <v>8389</v>
      </c>
      <c r="AT90" s="678">
        <v>8885</v>
      </c>
      <c r="AU90" s="258">
        <f t="shared" si="41"/>
        <v>19540</v>
      </c>
      <c r="AV90" s="89">
        <f t="shared" si="42"/>
        <v>814.16666666666663</v>
      </c>
      <c r="AW90" s="257">
        <f t="shared" si="43"/>
        <v>21548</v>
      </c>
      <c r="AX90" s="79">
        <f t="shared" si="44"/>
        <v>897.83333333333337</v>
      </c>
      <c r="AY90" s="259">
        <f t="shared" si="45"/>
        <v>8307.8333333333339</v>
      </c>
      <c r="AZ90" s="79">
        <f t="shared" si="46"/>
        <v>9158.7666666666664</v>
      </c>
      <c r="BA90" s="680"/>
    </row>
    <row r="91" spans="1:53">
      <c r="A91" s="278" t="s">
        <v>647</v>
      </c>
      <c r="B91" s="277" t="s">
        <v>658</v>
      </c>
      <c r="C91" s="278">
        <v>262129</v>
      </c>
      <c r="D91" s="153">
        <v>6</v>
      </c>
      <c r="E91" s="148" t="s">
        <v>393</v>
      </c>
      <c r="F91" s="477" t="s">
        <v>393</v>
      </c>
      <c r="G91" s="78"/>
      <c r="H91" s="675"/>
      <c r="I91" s="683">
        <v>12036</v>
      </c>
      <c r="J91" s="678">
        <v>12132</v>
      </c>
      <c r="K91" s="683"/>
      <c r="L91" s="678"/>
      <c r="M91" s="683">
        <v>14912</v>
      </c>
      <c r="N91" s="678">
        <v>15740</v>
      </c>
      <c r="O91" s="256">
        <f t="shared" si="29"/>
        <v>26948</v>
      </c>
      <c r="P91" s="89">
        <f t="shared" si="30"/>
        <v>898.26666666666665</v>
      </c>
      <c r="Q91" s="257">
        <f t="shared" si="31"/>
        <v>27872</v>
      </c>
      <c r="R91" s="79">
        <f t="shared" si="32"/>
        <v>929.06666666666672</v>
      </c>
      <c r="S91" s="684">
        <v>68</v>
      </c>
      <c r="T91" s="678">
        <v>56</v>
      </c>
      <c r="U91" s="256">
        <f t="shared" si="33"/>
        <v>26948</v>
      </c>
      <c r="V91" s="434">
        <f t="shared" si="34"/>
        <v>27872</v>
      </c>
      <c r="W91" s="78"/>
      <c r="X91" s="675"/>
      <c r="Y91" s="78"/>
      <c r="Z91" s="675"/>
      <c r="AA91" s="78"/>
      <c r="AB91" s="675"/>
      <c r="AC91" s="78"/>
      <c r="AD91" s="675"/>
      <c r="AE91" s="256">
        <f t="shared" si="35"/>
        <v>0</v>
      </c>
      <c r="AF91" s="89">
        <f t="shared" si="36"/>
        <v>0</v>
      </c>
      <c r="AG91" s="257">
        <f t="shared" si="37"/>
        <v>0</v>
      </c>
      <c r="AH91" s="79">
        <f t="shared" si="38"/>
        <v>0</v>
      </c>
      <c r="AI91" s="78"/>
      <c r="AJ91" s="675"/>
      <c r="AK91" s="256">
        <f t="shared" si="39"/>
        <v>0</v>
      </c>
      <c r="AL91" s="434">
        <f t="shared" si="40"/>
        <v>0</v>
      </c>
      <c r="AM91" s="78"/>
      <c r="AN91" s="675"/>
      <c r="AO91" s="679"/>
      <c r="AP91" s="678"/>
      <c r="AQ91" s="679"/>
      <c r="AR91" s="678"/>
      <c r="AS91" s="679"/>
      <c r="AT91" s="678"/>
      <c r="AU91" s="258">
        <f t="shared" si="41"/>
        <v>0</v>
      </c>
      <c r="AV91" s="89">
        <f t="shared" si="42"/>
        <v>0</v>
      </c>
      <c r="AW91" s="257">
        <f t="shared" si="43"/>
        <v>0</v>
      </c>
      <c r="AX91" s="79">
        <f t="shared" si="44"/>
        <v>0</v>
      </c>
      <c r="AY91" s="259">
        <f t="shared" si="45"/>
        <v>898.26666666666665</v>
      </c>
      <c r="AZ91" s="79">
        <f t="shared" si="46"/>
        <v>929.06666666666672</v>
      </c>
      <c r="BA91" s="680"/>
    </row>
    <row r="92" spans="1:53">
      <c r="A92" s="280" t="s">
        <v>647</v>
      </c>
      <c r="B92" s="478" t="s">
        <v>126</v>
      </c>
      <c r="C92" s="280">
        <v>133021</v>
      </c>
      <c r="D92" s="268">
        <v>7</v>
      </c>
      <c r="E92" s="148" t="s">
        <v>393</v>
      </c>
      <c r="F92" s="149" t="s">
        <v>393</v>
      </c>
      <c r="G92" s="78"/>
      <c r="H92" s="675"/>
      <c r="I92" s="78">
        <v>17114</v>
      </c>
      <c r="J92" s="678">
        <v>19898</v>
      </c>
      <c r="K92" s="78">
        <v>5427</v>
      </c>
      <c r="L92" s="678">
        <v>5852</v>
      </c>
      <c r="M92" s="78">
        <v>20776</v>
      </c>
      <c r="N92" s="678">
        <v>21466</v>
      </c>
      <c r="O92" s="256">
        <f t="shared" si="29"/>
        <v>43317</v>
      </c>
      <c r="P92" s="89">
        <f t="shared" si="30"/>
        <v>1443.9</v>
      </c>
      <c r="Q92" s="257">
        <f t="shared" si="31"/>
        <v>47216</v>
      </c>
      <c r="R92" s="79">
        <f t="shared" si="32"/>
        <v>1573.8666666666666</v>
      </c>
      <c r="S92" s="78">
        <v>3901</v>
      </c>
      <c r="T92" s="678">
        <v>4061</v>
      </c>
      <c r="U92" s="256">
        <f t="shared" si="33"/>
        <v>43317</v>
      </c>
      <c r="V92" s="434">
        <f t="shared" si="34"/>
        <v>47216</v>
      </c>
      <c r="W92" s="78"/>
      <c r="X92" s="675"/>
      <c r="Y92" s="679">
        <v>77854</v>
      </c>
      <c r="Z92" s="678">
        <v>78569</v>
      </c>
      <c r="AA92" s="679">
        <v>35962</v>
      </c>
      <c r="AB92" s="678">
        <v>27871</v>
      </c>
      <c r="AC92" s="679">
        <v>74951</v>
      </c>
      <c r="AD92" s="678">
        <v>67150</v>
      </c>
      <c r="AE92" s="256">
        <f t="shared" si="35"/>
        <v>188767</v>
      </c>
      <c r="AF92" s="89">
        <f t="shared" si="36"/>
        <v>209.74111111111111</v>
      </c>
      <c r="AG92" s="257">
        <f t="shared" si="37"/>
        <v>173590</v>
      </c>
      <c r="AH92" s="79">
        <f t="shared" si="38"/>
        <v>192.87777777777777</v>
      </c>
      <c r="AI92" s="679">
        <v>8267</v>
      </c>
      <c r="AJ92" s="678">
        <v>7875</v>
      </c>
      <c r="AK92" s="256">
        <f t="shared" si="39"/>
        <v>188767</v>
      </c>
      <c r="AL92" s="434">
        <f t="shared" si="40"/>
        <v>173590</v>
      </c>
      <c r="AM92" s="78"/>
      <c r="AN92" s="675"/>
      <c r="AO92" s="78"/>
      <c r="AP92" s="675"/>
      <c r="AQ92" s="78"/>
      <c r="AR92" s="675"/>
      <c r="AS92" s="78"/>
      <c r="AT92" s="675"/>
      <c r="AU92" s="258">
        <f t="shared" si="41"/>
        <v>0</v>
      </c>
      <c r="AV92" s="89">
        <f t="shared" si="42"/>
        <v>0</v>
      </c>
      <c r="AW92" s="257">
        <f t="shared" si="43"/>
        <v>0</v>
      </c>
      <c r="AX92" s="79">
        <f t="shared" si="44"/>
        <v>0</v>
      </c>
      <c r="AY92" s="259">
        <f t="shared" si="45"/>
        <v>1653.6411111111113</v>
      </c>
      <c r="AZ92" s="79">
        <f t="shared" si="46"/>
        <v>1766.7444444444443</v>
      </c>
      <c r="BA92" s="680"/>
    </row>
    <row r="93" spans="1:53">
      <c r="A93" s="280" t="s">
        <v>647</v>
      </c>
      <c r="B93" s="479" t="s">
        <v>127</v>
      </c>
      <c r="C93" s="480">
        <v>133386</v>
      </c>
      <c r="D93" s="481">
        <v>7</v>
      </c>
      <c r="E93" s="148" t="s">
        <v>393</v>
      </c>
      <c r="F93" s="149" t="s">
        <v>393</v>
      </c>
      <c r="G93" s="78"/>
      <c r="H93" s="675"/>
      <c r="I93" s="78">
        <v>122409</v>
      </c>
      <c r="J93" s="678">
        <v>139984</v>
      </c>
      <c r="K93" s="78">
        <v>39427</v>
      </c>
      <c r="L93" s="678">
        <v>45986</v>
      </c>
      <c r="M93" s="78">
        <v>138542</v>
      </c>
      <c r="N93" s="678">
        <v>166001</v>
      </c>
      <c r="O93" s="256">
        <f t="shared" si="29"/>
        <v>300378</v>
      </c>
      <c r="P93" s="89">
        <f t="shared" si="30"/>
        <v>10012.6</v>
      </c>
      <c r="Q93" s="257">
        <f t="shared" si="31"/>
        <v>351971</v>
      </c>
      <c r="R93" s="79">
        <f t="shared" si="32"/>
        <v>11732.366666666667</v>
      </c>
      <c r="S93" s="78">
        <v>17480</v>
      </c>
      <c r="T93" s="678">
        <v>24182</v>
      </c>
      <c r="U93" s="256">
        <f t="shared" si="33"/>
        <v>300378</v>
      </c>
      <c r="V93" s="434">
        <f t="shared" si="34"/>
        <v>351971</v>
      </c>
      <c r="W93" s="78"/>
      <c r="X93" s="675"/>
      <c r="Y93" s="679">
        <v>1163385</v>
      </c>
      <c r="Z93" s="678">
        <v>1158022</v>
      </c>
      <c r="AA93" s="679">
        <v>628110</v>
      </c>
      <c r="AB93" s="678">
        <v>634041</v>
      </c>
      <c r="AC93" s="679">
        <v>1107943</v>
      </c>
      <c r="AD93" s="678">
        <v>1189859</v>
      </c>
      <c r="AE93" s="256">
        <f t="shared" si="35"/>
        <v>2899438</v>
      </c>
      <c r="AF93" s="89">
        <f t="shared" si="36"/>
        <v>3221.597777777778</v>
      </c>
      <c r="AG93" s="257">
        <f t="shared" si="37"/>
        <v>2981922</v>
      </c>
      <c r="AH93" s="79">
        <f t="shared" si="38"/>
        <v>3313.2466666666664</v>
      </c>
      <c r="AI93" s="679">
        <v>33028</v>
      </c>
      <c r="AJ93" s="678">
        <v>33420</v>
      </c>
      <c r="AK93" s="256">
        <f t="shared" si="39"/>
        <v>2899438</v>
      </c>
      <c r="AL93" s="434">
        <f t="shared" si="40"/>
        <v>2981922</v>
      </c>
      <c r="AM93" s="78"/>
      <c r="AN93" s="675"/>
      <c r="AO93" s="78"/>
      <c r="AP93" s="675"/>
      <c r="AQ93" s="78"/>
      <c r="AR93" s="675"/>
      <c r="AS93" s="78"/>
      <c r="AT93" s="675"/>
      <c r="AU93" s="258">
        <f t="shared" si="41"/>
        <v>0</v>
      </c>
      <c r="AV93" s="89">
        <f t="shared" si="42"/>
        <v>0</v>
      </c>
      <c r="AW93" s="257">
        <f t="shared" si="43"/>
        <v>0</v>
      </c>
      <c r="AX93" s="79">
        <f t="shared" si="44"/>
        <v>0</v>
      </c>
      <c r="AY93" s="259">
        <f t="shared" si="45"/>
        <v>13234.197777777779</v>
      </c>
      <c r="AZ93" s="79">
        <f t="shared" si="46"/>
        <v>15045.613333333333</v>
      </c>
      <c r="BA93" s="680"/>
    </row>
    <row r="94" spans="1:53">
      <c r="A94" s="280" t="s">
        <v>647</v>
      </c>
      <c r="B94" s="478" t="s">
        <v>135</v>
      </c>
      <c r="C94" s="280">
        <v>135717</v>
      </c>
      <c r="D94" s="268">
        <v>7</v>
      </c>
      <c r="E94" s="148" t="s">
        <v>393</v>
      </c>
      <c r="F94" s="149" t="s">
        <v>393</v>
      </c>
      <c r="G94" s="78"/>
      <c r="H94" s="675"/>
      <c r="I94" s="78">
        <v>516312</v>
      </c>
      <c r="J94" s="678">
        <v>564398</v>
      </c>
      <c r="K94" s="78">
        <v>272485</v>
      </c>
      <c r="L94" s="678">
        <v>291031</v>
      </c>
      <c r="M94" s="78">
        <v>565389</v>
      </c>
      <c r="N94" s="678">
        <v>607975</v>
      </c>
      <c r="O94" s="256">
        <f t="shared" si="29"/>
        <v>1354186</v>
      </c>
      <c r="P94" s="89">
        <f t="shared" si="30"/>
        <v>45139.533333333333</v>
      </c>
      <c r="Q94" s="257">
        <f t="shared" si="31"/>
        <v>1463404</v>
      </c>
      <c r="R94" s="79">
        <f t="shared" si="32"/>
        <v>48780.133333333331</v>
      </c>
      <c r="S94" s="78">
        <v>19963</v>
      </c>
      <c r="T94" s="678">
        <v>21986</v>
      </c>
      <c r="U94" s="256">
        <f t="shared" si="33"/>
        <v>1354186</v>
      </c>
      <c r="V94" s="434">
        <f t="shared" si="34"/>
        <v>1463404</v>
      </c>
      <c r="W94" s="78"/>
      <c r="X94" s="675"/>
      <c r="Y94" s="679">
        <v>3045387</v>
      </c>
      <c r="Z94" s="678">
        <v>3184728</v>
      </c>
      <c r="AA94" s="679">
        <v>2796873</v>
      </c>
      <c r="AB94" s="678">
        <v>2497876</v>
      </c>
      <c r="AC94" s="679">
        <v>2959024</v>
      </c>
      <c r="AD94" s="678">
        <v>2087029</v>
      </c>
      <c r="AE94" s="256">
        <f t="shared" si="35"/>
        <v>8801284</v>
      </c>
      <c r="AF94" s="89">
        <f t="shared" si="36"/>
        <v>9779.2044444444437</v>
      </c>
      <c r="AG94" s="257">
        <f t="shared" si="37"/>
        <v>7769633</v>
      </c>
      <c r="AH94" s="79">
        <f t="shared" si="38"/>
        <v>8632.9255555555555</v>
      </c>
      <c r="AI94" s="679">
        <v>0</v>
      </c>
      <c r="AJ94" s="678">
        <v>0</v>
      </c>
      <c r="AK94" s="256">
        <f t="shared" si="39"/>
        <v>8801284</v>
      </c>
      <c r="AL94" s="434">
        <f t="shared" si="40"/>
        <v>7769633</v>
      </c>
      <c r="AM94" s="78"/>
      <c r="AN94" s="675"/>
      <c r="AO94" s="78"/>
      <c r="AP94" s="675"/>
      <c r="AQ94" s="78"/>
      <c r="AR94" s="675"/>
      <c r="AS94" s="78"/>
      <c r="AT94" s="675"/>
      <c r="AU94" s="258">
        <f t="shared" si="41"/>
        <v>0</v>
      </c>
      <c r="AV94" s="89">
        <f t="shared" si="42"/>
        <v>0</v>
      </c>
      <c r="AW94" s="257">
        <f t="shared" si="43"/>
        <v>0</v>
      </c>
      <c r="AX94" s="79">
        <f t="shared" si="44"/>
        <v>0</v>
      </c>
      <c r="AY94" s="259">
        <f t="shared" si="45"/>
        <v>54918.737777777773</v>
      </c>
      <c r="AZ94" s="79">
        <f t="shared" si="46"/>
        <v>57413.058888888889</v>
      </c>
      <c r="BA94" s="680"/>
    </row>
    <row r="95" spans="1:53">
      <c r="A95" s="482" t="s">
        <v>647</v>
      </c>
      <c r="B95" s="478" t="s">
        <v>77</v>
      </c>
      <c r="C95" s="279">
        <v>136233</v>
      </c>
      <c r="D95" s="268">
        <v>7</v>
      </c>
      <c r="E95" s="148" t="s">
        <v>393</v>
      </c>
      <c r="F95" s="149" t="s">
        <v>393</v>
      </c>
      <c r="G95" s="78"/>
      <c r="H95" s="675"/>
      <c r="I95" s="78">
        <v>59403</v>
      </c>
      <c r="J95" s="678">
        <v>63809</v>
      </c>
      <c r="K95" s="78">
        <v>26034</v>
      </c>
      <c r="L95" s="678">
        <v>28182</v>
      </c>
      <c r="M95" s="78">
        <v>65288</v>
      </c>
      <c r="N95" s="678">
        <v>67865</v>
      </c>
      <c r="O95" s="256">
        <f t="shared" si="29"/>
        <v>150725</v>
      </c>
      <c r="P95" s="89">
        <f t="shared" si="30"/>
        <v>5024.166666666667</v>
      </c>
      <c r="Q95" s="257">
        <f t="shared" si="31"/>
        <v>159856</v>
      </c>
      <c r="R95" s="79">
        <f t="shared" si="32"/>
        <v>5328.5333333333338</v>
      </c>
      <c r="S95" s="78">
        <v>5983</v>
      </c>
      <c r="T95" s="678">
        <v>7085</v>
      </c>
      <c r="U95" s="256">
        <f t="shared" si="33"/>
        <v>150725</v>
      </c>
      <c r="V95" s="434">
        <f t="shared" si="34"/>
        <v>159856</v>
      </c>
      <c r="W95" s="78"/>
      <c r="X95" s="675"/>
      <c r="Y95" s="679">
        <v>138334</v>
      </c>
      <c r="Z95" s="678">
        <v>144218</v>
      </c>
      <c r="AA95" s="679">
        <v>83715</v>
      </c>
      <c r="AB95" s="678">
        <v>80889</v>
      </c>
      <c r="AC95" s="679">
        <v>145682</v>
      </c>
      <c r="AD95" s="678">
        <v>152125</v>
      </c>
      <c r="AE95" s="256">
        <f t="shared" si="35"/>
        <v>367731</v>
      </c>
      <c r="AF95" s="89">
        <f t="shared" si="36"/>
        <v>408.59</v>
      </c>
      <c r="AG95" s="257">
        <f t="shared" si="37"/>
        <v>377232</v>
      </c>
      <c r="AH95" s="79">
        <f t="shared" si="38"/>
        <v>419.14666666666665</v>
      </c>
      <c r="AI95" s="679">
        <v>0</v>
      </c>
      <c r="AJ95" s="678">
        <v>0</v>
      </c>
      <c r="AK95" s="256">
        <f t="shared" si="39"/>
        <v>367731</v>
      </c>
      <c r="AL95" s="434">
        <f t="shared" si="40"/>
        <v>377232</v>
      </c>
      <c r="AM95" s="78"/>
      <c r="AN95" s="675"/>
      <c r="AO95" s="78"/>
      <c r="AP95" s="675"/>
      <c r="AQ95" s="78"/>
      <c r="AR95" s="675"/>
      <c r="AS95" s="78"/>
      <c r="AT95" s="675"/>
      <c r="AU95" s="258">
        <f t="shared" si="41"/>
        <v>0</v>
      </c>
      <c r="AV95" s="89">
        <f t="shared" si="42"/>
        <v>0</v>
      </c>
      <c r="AW95" s="257">
        <f t="shared" si="43"/>
        <v>0</v>
      </c>
      <c r="AX95" s="79">
        <f t="shared" si="44"/>
        <v>0</v>
      </c>
      <c r="AY95" s="259">
        <f t="shared" si="45"/>
        <v>5432.7566666666671</v>
      </c>
      <c r="AZ95" s="79">
        <f t="shared" si="46"/>
        <v>5747.68</v>
      </c>
      <c r="BA95" s="680"/>
    </row>
    <row r="96" spans="1:53">
      <c r="A96" s="280" t="s">
        <v>647</v>
      </c>
      <c r="B96" s="478" t="s">
        <v>142</v>
      </c>
      <c r="C96" s="280">
        <v>137078</v>
      </c>
      <c r="D96" s="268">
        <v>7</v>
      </c>
      <c r="E96" s="148" t="s">
        <v>393</v>
      </c>
      <c r="F96" s="149" t="s">
        <v>393</v>
      </c>
      <c r="G96" s="78"/>
      <c r="H96" s="675"/>
      <c r="I96" s="78">
        <v>212497</v>
      </c>
      <c r="J96" s="678">
        <v>231691</v>
      </c>
      <c r="K96" s="78">
        <v>85117</v>
      </c>
      <c r="L96" s="678">
        <v>91746</v>
      </c>
      <c r="M96" s="78">
        <v>229163</v>
      </c>
      <c r="N96" s="678">
        <v>257786</v>
      </c>
      <c r="O96" s="256">
        <f t="shared" si="29"/>
        <v>526777</v>
      </c>
      <c r="P96" s="89">
        <f t="shared" si="30"/>
        <v>17559.233333333334</v>
      </c>
      <c r="Q96" s="257">
        <f t="shared" si="31"/>
        <v>581223</v>
      </c>
      <c r="R96" s="79">
        <f t="shared" si="32"/>
        <v>19374.099999999999</v>
      </c>
      <c r="S96" s="78">
        <v>17910</v>
      </c>
      <c r="T96" s="678">
        <v>21652</v>
      </c>
      <c r="U96" s="256">
        <f t="shared" si="33"/>
        <v>526777</v>
      </c>
      <c r="V96" s="434">
        <f t="shared" si="34"/>
        <v>581223</v>
      </c>
      <c r="W96" s="78"/>
      <c r="X96" s="675"/>
      <c r="Y96" s="679">
        <v>147103</v>
      </c>
      <c r="Z96" s="678">
        <v>150094</v>
      </c>
      <c r="AA96" s="679">
        <v>88374</v>
      </c>
      <c r="AB96" s="678">
        <v>68586</v>
      </c>
      <c r="AC96" s="679">
        <v>174167</v>
      </c>
      <c r="AD96" s="678">
        <v>130056</v>
      </c>
      <c r="AE96" s="256">
        <f t="shared" si="35"/>
        <v>409644</v>
      </c>
      <c r="AF96" s="89">
        <f t="shared" si="36"/>
        <v>455.16</v>
      </c>
      <c r="AG96" s="257">
        <f t="shared" si="37"/>
        <v>348736</v>
      </c>
      <c r="AH96" s="79">
        <f t="shared" si="38"/>
        <v>387.48444444444442</v>
      </c>
      <c r="AI96" s="679">
        <v>0</v>
      </c>
      <c r="AJ96" s="678">
        <v>0</v>
      </c>
      <c r="AK96" s="256">
        <f t="shared" si="39"/>
        <v>409644</v>
      </c>
      <c r="AL96" s="434">
        <f t="shared" si="40"/>
        <v>348736</v>
      </c>
      <c r="AM96" s="78"/>
      <c r="AN96" s="675"/>
      <c r="AO96" s="78"/>
      <c r="AP96" s="675"/>
      <c r="AQ96" s="78"/>
      <c r="AR96" s="675"/>
      <c r="AS96" s="78"/>
      <c r="AT96" s="675"/>
      <c r="AU96" s="258">
        <f t="shared" si="41"/>
        <v>0</v>
      </c>
      <c r="AV96" s="89">
        <f t="shared" si="42"/>
        <v>0</v>
      </c>
      <c r="AW96" s="257">
        <f t="shared" si="43"/>
        <v>0</v>
      </c>
      <c r="AX96" s="79">
        <f t="shared" si="44"/>
        <v>0</v>
      </c>
      <c r="AY96" s="259">
        <f t="shared" si="45"/>
        <v>18014.393333333333</v>
      </c>
      <c r="AZ96" s="79">
        <f t="shared" si="46"/>
        <v>19761.584444444445</v>
      </c>
      <c r="BA96" s="680"/>
    </row>
    <row r="97" spans="1:53">
      <c r="A97" s="280" t="s">
        <v>647</v>
      </c>
      <c r="B97" s="478" t="s">
        <v>123</v>
      </c>
      <c r="C97" s="280">
        <v>132693</v>
      </c>
      <c r="D97" s="268">
        <v>8</v>
      </c>
      <c r="E97" s="148" t="s">
        <v>393</v>
      </c>
      <c r="F97" s="149" t="s">
        <v>393</v>
      </c>
      <c r="G97" s="78"/>
      <c r="H97" s="675"/>
      <c r="I97" s="78">
        <v>121486</v>
      </c>
      <c r="J97" s="678">
        <v>137865</v>
      </c>
      <c r="K97" s="78">
        <v>39473</v>
      </c>
      <c r="L97" s="678">
        <v>48406</v>
      </c>
      <c r="M97" s="78">
        <v>133277</v>
      </c>
      <c r="N97" s="678">
        <v>153404</v>
      </c>
      <c r="O97" s="256">
        <f t="shared" si="29"/>
        <v>294236</v>
      </c>
      <c r="P97" s="89">
        <f t="shared" si="30"/>
        <v>9807.8666666666668</v>
      </c>
      <c r="Q97" s="257">
        <f t="shared" si="31"/>
        <v>339675</v>
      </c>
      <c r="R97" s="79">
        <f t="shared" si="32"/>
        <v>11322.5</v>
      </c>
      <c r="S97" s="78">
        <v>33203</v>
      </c>
      <c r="T97" s="678">
        <v>40467</v>
      </c>
      <c r="U97" s="256">
        <f t="shared" si="33"/>
        <v>294236</v>
      </c>
      <c r="V97" s="434">
        <f t="shared" si="34"/>
        <v>339675</v>
      </c>
      <c r="W97" s="78"/>
      <c r="X97" s="675"/>
      <c r="Y97" s="679">
        <v>508014</v>
      </c>
      <c r="Z97" s="678">
        <v>514872</v>
      </c>
      <c r="AA97" s="679">
        <v>182056</v>
      </c>
      <c r="AB97" s="678">
        <v>185750</v>
      </c>
      <c r="AC97" s="679">
        <v>655185</v>
      </c>
      <c r="AD97" s="678">
        <v>688005</v>
      </c>
      <c r="AE97" s="256">
        <f t="shared" si="35"/>
        <v>1345255</v>
      </c>
      <c r="AF97" s="89">
        <f t="shared" si="36"/>
        <v>1494.7277777777779</v>
      </c>
      <c r="AG97" s="257">
        <f t="shared" si="37"/>
        <v>1388627</v>
      </c>
      <c r="AH97" s="79">
        <f t="shared" si="38"/>
        <v>1542.9188888888889</v>
      </c>
      <c r="AI97" s="679">
        <v>81951</v>
      </c>
      <c r="AJ97" s="678">
        <v>78476</v>
      </c>
      <c r="AK97" s="256">
        <f t="shared" si="39"/>
        <v>1345255</v>
      </c>
      <c r="AL97" s="434">
        <f t="shared" si="40"/>
        <v>1388627</v>
      </c>
      <c r="AM97" s="78"/>
      <c r="AN97" s="675"/>
      <c r="AO97" s="78"/>
      <c r="AP97" s="675"/>
      <c r="AQ97" s="78"/>
      <c r="AR97" s="675"/>
      <c r="AS97" s="78"/>
      <c r="AT97" s="675"/>
      <c r="AU97" s="258">
        <f t="shared" si="41"/>
        <v>0</v>
      </c>
      <c r="AV97" s="89">
        <f t="shared" si="42"/>
        <v>0</v>
      </c>
      <c r="AW97" s="257">
        <f t="shared" si="43"/>
        <v>0</v>
      </c>
      <c r="AX97" s="79">
        <f t="shared" si="44"/>
        <v>0</v>
      </c>
      <c r="AY97" s="259">
        <f t="shared" si="45"/>
        <v>11302.594444444445</v>
      </c>
      <c r="AZ97" s="79">
        <f t="shared" si="46"/>
        <v>12865.418888888889</v>
      </c>
      <c r="BA97" s="680"/>
    </row>
    <row r="98" spans="1:53">
      <c r="A98" s="280" t="s">
        <v>647</v>
      </c>
      <c r="B98" s="478" t="s">
        <v>124</v>
      </c>
      <c r="C98" s="280">
        <v>132709</v>
      </c>
      <c r="D98" s="268">
        <v>8</v>
      </c>
      <c r="E98" s="148" t="s">
        <v>393</v>
      </c>
      <c r="F98" s="149" t="s">
        <v>393</v>
      </c>
      <c r="G98" s="78"/>
      <c r="H98" s="675"/>
      <c r="I98" s="78">
        <v>270956</v>
      </c>
      <c r="J98" s="678">
        <v>298974</v>
      </c>
      <c r="K98" s="78">
        <v>133254</v>
      </c>
      <c r="L98" s="678">
        <v>151918</v>
      </c>
      <c r="M98" s="78">
        <v>289901</v>
      </c>
      <c r="N98" s="678">
        <v>330703</v>
      </c>
      <c r="O98" s="256">
        <f t="shared" si="29"/>
        <v>694111</v>
      </c>
      <c r="P98" s="89">
        <f t="shared" si="30"/>
        <v>23137.033333333333</v>
      </c>
      <c r="Q98" s="257">
        <f t="shared" si="31"/>
        <v>781595</v>
      </c>
      <c r="R98" s="79">
        <f t="shared" si="32"/>
        <v>26053.166666666668</v>
      </c>
      <c r="S98" s="78">
        <v>24859</v>
      </c>
      <c r="T98" s="678">
        <v>29533</v>
      </c>
      <c r="U98" s="256">
        <f t="shared" si="33"/>
        <v>694111</v>
      </c>
      <c r="V98" s="434">
        <f t="shared" si="34"/>
        <v>781595</v>
      </c>
      <c r="W98" s="78"/>
      <c r="X98" s="675"/>
      <c r="Y98" s="679">
        <v>273147</v>
      </c>
      <c r="Z98" s="678">
        <v>252784</v>
      </c>
      <c r="AA98" s="679">
        <v>169468</v>
      </c>
      <c r="AB98" s="678">
        <v>143817</v>
      </c>
      <c r="AC98" s="679">
        <v>256481</v>
      </c>
      <c r="AD98" s="678">
        <v>222535</v>
      </c>
      <c r="AE98" s="256">
        <f t="shared" si="35"/>
        <v>699096</v>
      </c>
      <c r="AF98" s="89">
        <f t="shared" si="36"/>
        <v>776.77333333333331</v>
      </c>
      <c r="AG98" s="257">
        <f t="shared" si="37"/>
        <v>619136</v>
      </c>
      <c r="AH98" s="79">
        <f t="shared" si="38"/>
        <v>687.92888888888888</v>
      </c>
      <c r="AI98" s="679">
        <v>0</v>
      </c>
      <c r="AJ98" s="678">
        <v>0</v>
      </c>
      <c r="AK98" s="256">
        <f t="shared" si="39"/>
        <v>699096</v>
      </c>
      <c r="AL98" s="434">
        <f t="shared" si="40"/>
        <v>619136</v>
      </c>
      <c r="AM98" s="78"/>
      <c r="AN98" s="675"/>
      <c r="AO98" s="78"/>
      <c r="AP98" s="675"/>
      <c r="AQ98" s="78"/>
      <c r="AR98" s="675"/>
      <c r="AS98" s="78"/>
      <c r="AT98" s="675"/>
      <c r="AU98" s="258">
        <f t="shared" si="41"/>
        <v>0</v>
      </c>
      <c r="AV98" s="89">
        <f t="shared" si="42"/>
        <v>0</v>
      </c>
      <c r="AW98" s="257">
        <f t="shared" si="43"/>
        <v>0</v>
      </c>
      <c r="AX98" s="79">
        <f t="shared" si="44"/>
        <v>0</v>
      </c>
      <c r="AY98" s="259">
        <f t="shared" si="45"/>
        <v>23913.806666666667</v>
      </c>
      <c r="AZ98" s="79">
        <f t="shared" si="46"/>
        <v>26741.095555555556</v>
      </c>
      <c r="BA98" s="680"/>
    </row>
    <row r="99" spans="1:53">
      <c r="A99" s="280" t="s">
        <v>647</v>
      </c>
      <c r="B99" s="164" t="s">
        <v>57</v>
      </c>
      <c r="C99" s="280">
        <v>133508</v>
      </c>
      <c r="D99" s="268">
        <v>8</v>
      </c>
      <c r="E99" s="148" t="s">
        <v>393</v>
      </c>
      <c r="F99" s="149" t="s">
        <v>393</v>
      </c>
      <c r="G99" s="78"/>
      <c r="H99" s="675"/>
      <c r="I99" s="78">
        <v>99439</v>
      </c>
      <c r="J99" s="678">
        <v>117087</v>
      </c>
      <c r="K99" s="78">
        <v>43790</v>
      </c>
      <c r="L99" s="678">
        <v>53812</v>
      </c>
      <c r="M99" s="78">
        <v>116839</v>
      </c>
      <c r="N99" s="678">
        <v>142615</v>
      </c>
      <c r="O99" s="256">
        <f t="shared" si="29"/>
        <v>260068</v>
      </c>
      <c r="P99" s="89">
        <f t="shared" si="30"/>
        <v>8668.9333333333325</v>
      </c>
      <c r="Q99" s="257">
        <f t="shared" si="31"/>
        <v>313514</v>
      </c>
      <c r="R99" s="79">
        <f t="shared" si="32"/>
        <v>10450.466666666667</v>
      </c>
      <c r="S99" s="78">
        <v>15951</v>
      </c>
      <c r="T99" s="678">
        <v>18926</v>
      </c>
      <c r="U99" s="256">
        <f t="shared" si="33"/>
        <v>260068</v>
      </c>
      <c r="V99" s="434">
        <f t="shared" si="34"/>
        <v>313514</v>
      </c>
      <c r="W99" s="78"/>
      <c r="X99" s="675"/>
      <c r="Y99" s="679">
        <v>21084</v>
      </c>
      <c r="Z99" s="678">
        <v>26166</v>
      </c>
      <c r="AA99" s="679">
        <v>8943</v>
      </c>
      <c r="AB99" s="685">
        <v>27441</v>
      </c>
      <c r="AC99" s="679">
        <v>19383</v>
      </c>
      <c r="AD99" s="678">
        <v>27645</v>
      </c>
      <c r="AE99" s="256">
        <f t="shared" si="35"/>
        <v>49410</v>
      </c>
      <c r="AF99" s="89">
        <f t="shared" si="36"/>
        <v>54.9</v>
      </c>
      <c r="AG99" s="257">
        <f t="shared" si="37"/>
        <v>81252</v>
      </c>
      <c r="AH99" s="79">
        <f t="shared" si="38"/>
        <v>90.28</v>
      </c>
      <c r="AI99" s="679">
        <v>0</v>
      </c>
      <c r="AJ99" s="678">
        <v>0</v>
      </c>
      <c r="AK99" s="256">
        <f t="shared" si="39"/>
        <v>49410</v>
      </c>
      <c r="AL99" s="434">
        <f t="shared" si="40"/>
        <v>81252</v>
      </c>
      <c r="AM99" s="78"/>
      <c r="AN99" s="675"/>
      <c r="AO99" s="78"/>
      <c r="AP99" s="675"/>
      <c r="AQ99" s="78"/>
      <c r="AR99" s="675"/>
      <c r="AS99" s="78"/>
      <c r="AT99" s="675"/>
      <c r="AU99" s="258">
        <f t="shared" si="41"/>
        <v>0</v>
      </c>
      <c r="AV99" s="89">
        <f t="shared" si="42"/>
        <v>0</v>
      </c>
      <c r="AW99" s="257">
        <f t="shared" si="43"/>
        <v>0</v>
      </c>
      <c r="AX99" s="79">
        <f t="shared" si="44"/>
        <v>0</v>
      </c>
      <c r="AY99" s="259">
        <f t="shared" si="45"/>
        <v>8723.8333333333321</v>
      </c>
      <c r="AZ99" s="79">
        <f t="shared" si="46"/>
        <v>10540.746666666668</v>
      </c>
      <c r="BA99" s="680"/>
    </row>
    <row r="100" spans="1:53">
      <c r="A100" s="280" t="s">
        <v>647</v>
      </c>
      <c r="B100" s="478" t="s">
        <v>128</v>
      </c>
      <c r="C100" s="280">
        <v>133702</v>
      </c>
      <c r="D100" s="268">
        <v>8</v>
      </c>
      <c r="E100" s="148" t="s">
        <v>393</v>
      </c>
      <c r="F100" s="149" t="s">
        <v>393</v>
      </c>
      <c r="G100" s="78"/>
      <c r="H100" s="675"/>
      <c r="I100" s="78">
        <v>188007</v>
      </c>
      <c r="J100" s="678">
        <v>210437</v>
      </c>
      <c r="K100" s="78">
        <v>102116</v>
      </c>
      <c r="L100" s="678">
        <v>119889</v>
      </c>
      <c r="M100" s="78">
        <v>212972</v>
      </c>
      <c r="N100" s="678">
        <v>249244</v>
      </c>
      <c r="O100" s="256">
        <f t="shared" si="29"/>
        <v>503095</v>
      </c>
      <c r="P100" s="89">
        <f t="shared" si="30"/>
        <v>16769.833333333332</v>
      </c>
      <c r="Q100" s="257">
        <f t="shared" si="31"/>
        <v>579570</v>
      </c>
      <c r="R100" s="79">
        <f t="shared" si="32"/>
        <v>19319</v>
      </c>
      <c r="S100" s="78">
        <v>16802</v>
      </c>
      <c r="T100" s="678">
        <v>18904</v>
      </c>
      <c r="U100" s="256">
        <f t="shared" si="33"/>
        <v>503095</v>
      </c>
      <c r="V100" s="434">
        <f t="shared" si="34"/>
        <v>579570</v>
      </c>
      <c r="W100" s="78"/>
      <c r="X100" s="675"/>
      <c r="Y100" s="679">
        <v>2726747</v>
      </c>
      <c r="Z100" s="678">
        <v>2653565</v>
      </c>
      <c r="AA100" s="679">
        <v>1580613</v>
      </c>
      <c r="AB100" s="685">
        <v>2119915</v>
      </c>
      <c r="AC100" s="679">
        <v>2353574</v>
      </c>
      <c r="AD100" s="678">
        <v>1990251</v>
      </c>
      <c r="AE100" s="256">
        <f t="shared" si="35"/>
        <v>6660934</v>
      </c>
      <c r="AF100" s="89">
        <f t="shared" si="36"/>
        <v>7401.0377777777776</v>
      </c>
      <c r="AG100" s="257">
        <f t="shared" si="37"/>
        <v>6763731</v>
      </c>
      <c r="AH100" s="79">
        <f t="shared" si="38"/>
        <v>7515.2566666666671</v>
      </c>
      <c r="AI100" s="686">
        <v>35629</v>
      </c>
      <c r="AJ100" s="685">
        <v>61720</v>
      </c>
      <c r="AK100" s="256">
        <f t="shared" si="39"/>
        <v>6660934</v>
      </c>
      <c r="AL100" s="434">
        <f t="shared" si="40"/>
        <v>6763731</v>
      </c>
      <c r="AM100" s="78"/>
      <c r="AN100" s="675"/>
      <c r="AO100" s="78"/>
      <c r="AP100" s="675"/>
      <c r="AQ100" s="78"/>
      <c r="AR100" s="675"/>
      <c r="AS100" s="78"/>
      <c r="AT100" s="675"/>
      <c r="AU100" s="258">
        <f t="shared" si="41"/>
        <v>0</v>
      </c>
      <c r="AV100" s="89">
        <f t="shared" si="42"/>
        <v>0</v>
      </c>
      <c r="AW100" s="257">
        <f t="shared" si="43"/>
        <v>0</v>
      </c>
      <c r="AX100" s="79">
        <f t="shared" si="44"/>
        <v>0</v>
      </c>
      <c r="AY100" s="259">
        <f t="shared" si="45"/>
        <v>24170.871111111112</v>
      </c>
      <c r="AZ100" s="79">
        <f t="shared" si="46"/>
        <v>26834.256666666668</v>
      </c>
      <c r="BA100" s="680"/>
    </row>
    <row r="101" spans="1:53">
      <c r="A101" s="280" t="s">
        <v>647</v>
      </c>
      <c r="B101" s="478" t="s">
        <v>131</v>
      </c>
      <c r="C101" s="280">
        <v>134495</v>
      </c>
      <c r="D101" s="268">
        <v>8</v>
      </c>
      <c r="E101" s="148" t="s">
        <v>393</v>
      </c>
      <c r="F101" s="149" t="s">
        <v>393</v>
      </c>
      <c r="G101" s="78"/>
      <c r="H101" s="675"/>
      <c r="I101" s="78">
        <v>183758</v>
      </c>
      <c r="J101" s="678">
        <v>210620</v>
      </c>
      <c r="K101" s="78">
        <v>71207</v>
      </c>
      <c r="L101" s="678">
        <v>79013</v>
      </c>
      <c r="M101" s="78">
        <v>209829</v>
      </c>
      <c r="N101" s="678">
        <v>239532</v>
      </c>
      <c r="O101" s="256">
        <f t="shared" ref="O101:O132" si="47">SUM(G101,I101,K101,M101)</f>
        <v>464794</v>
      </c>
      <c r="P101" s="89">
        <f t="shared" ref="P101:P132" si="48">+O101/30</f>
        <v>15493.133333333333</v>
      </c>
      <c r="Q101" s="257">
        <f t="shared" ref="Q101:Q132" si="49">SUM(H101,J101,L101,N101)</f>
        <v>529165</v>
      </c>
      <c r="R101" s="79">
        <f t="shared" si="32"/>
        <v>17638.833333333332</v>
      </c>
      <c r="S101" s="78">
        <v>7057</v>
      </c>
      <c r="T101" s="678">
        <v>8399</v>
      </c>
      <c r="U101" s="256">
        <f t="shared" ref="U101:U132" si="50">IF(OR(ISBLANK(S101),(S101="—")),0,O101)</f>
        <v>464794</v>
      </c>
      <c r="V101" s="434">
        <f t="shared" ref="V101:V132" si="51">IF(OR(ISBLANK(T101),(T101="—")),0,Q101)</f>
        <v>529165</v>
      </c>
      <c r="W101" s="78"/>
      <c r="X101" s="675"/>
      <c r="Y101" s="679">
        <v>921346</v>
      </c>
      <c r="Z101" s="678">
        <v>917517</v>
      </c>
      <c r="AA101" s="679">
        <v>237818</v>
      </c>
      <c r="AB101" s="678">
        <v>212101</v>
      </c>
      <c r="AC101" s="679">
        <v>998985</v>
      </c>
      <c r="AD101" s="678">
        <v>849903</v>
      </c>
      <c r="AE101" s="256">
        <f t="shared" ref="AE101:AE132" si="52">SUM(W101,Y101,AA101,AC101)</f>
        <v>2158149</v>
      </c>
      <c r="AF101" s="89">
        <f t="shared" si="36"/>
        <v>2397.9433333333332</v>
      </c>
      <c r="AG101" s="257">
        <f t="shared" ref="AG101:AG132" si="53">SUM(X101,Z101,AB101,AD101)</f>
        <v>1979521</v>
      </c>
      <c r="AH101" s="79">
        <f t="shared" si="38"/>
        <v>2199.4677777777779</v>
      </c>
      <c r="AI101" s="679">
        <v>0</v>
      </c>
      <c r="AJ101" s="678">
        <v>0</v>
      </c>
      <c r="AK101" s="256">
        <f t="shared" ref="AK101:AK132" si="54">IF(OR(ISBLANK(AI101),(AI101="—")),0,AE101)</f>
        <v>2158149</v>
      </c>
      <c r="AL101" s="434">
        <f t="shared" ref="AL101:AL132" si="55">IF(OR(ISBLANK(AJ101),(AJ101="—")),0,AG101)</f>
        <v>1979521</v>
      </c>
      <c r="AM101" s="78"/>
      <c r="AN101" s="675"/>
      <c r="AO101" s="78"/>
      <c r="AP101" s="675"/>
      <c r="AQ101" s="78"/>
      <c r="AR101" s="675"/>
      <c r="AS101" s="78"/>
      <c r="AT101" s="675"/>
      <c r="AU101" s="258">
        <f t="shared" si="41"/>
        <v>0</v>
      </c>
      <c r="AV101" s="89">
        <f t="shared" si="42"/>
        <v>0</v>
      </c>
      <c r="AW101" s="257">
        <f t="shared" si="43"/>
        <v>0</v>
      </c>
      <c r="AX101" s="79">
        <f t="shared" si="44"/>
        <v>0</v>
      </c>
      <c r="AY101" s="259">
        <f t="shared" ref="AY101:AY132" si="56">SUM(P101,AF101,AV101)</f>
        <v>17891.076666666668</v>
      </c>
      <c r="AZ101" s="79">
        <f t="shared" ref="AZ101:AZ132" si="57">SUM(R101,AH101,AX101)</f>
        <v>19838.301111111112</v>
      </c>
      <c r="BA101" s="680"/>
    </row>
    <row r="102" spans="1:53">
      <c r="A102" s="280" t="s">
        <v>647</v>
      </c>
      <c r="B102" s="478" t="s">
        <v>132</v>
      </c>
      <c r="C102" s="280">
        <v>134608</v>
      </c>
      <c r="D102" s="268">
        <v>8</v>
      </c>
      <c r="E102" s="148" t="s">
        <v>393</v>
      </c>
      <c r="F102" s="149" t="s">
        <v>393</v>
      </c>
      <c r="G102" s="78"/>
      <c r="H102" s="675"/>
      <c r="I102" s="78">
        <v>102345</v>
      </c>
      <c r="J102" s="678">
        <v>111836</v>
      </c>
      <c r="K102" s="78">
        <v>52438</v>
      </c>
      <c r="L102" s="678">
        <v>57119</v>
      </c>
      <c r="M102" s="78">
        <v>115550</v>
      </c>
      <c r="N102" s="678">
        <v>130192</v>
      </c>
      <c r="O102" s="256">
        <f t="shared" si="47"/>
        <v>270333</v>
      </c>
      <c r="P102" s="89">
        <f t="shared" si="48"/>
        <v>9011.1</v>
      </c>
      <c r="Q102" s="257">
        <f t="shared" si="49"/>
        <v>299147</v>
      </c>
      <c r="R102" s="79">
        <f t="shared" si="32"/>
        <v>9971.5666666666675</v>
      </c>
      <c r="S102" s="78">
        <v>21351</v>
      </c>
      <c r="T102" s="678">
        <v>22507</v>
      </c>
      <c r="U102" s="256">
        <f t="shared" si="50"/>
        <v>270333</v>
      </c>
      <c r="V102" s="434">
        <f t="shared" si="51"/>
        <v>299147</v>
      </c>
      <c r="W102" s="78"/>
      <c r="X102" s="675"/>
      <c r="Y102" s="679">
        <v>1186062</v>
      </c>
      <c r="Z102" s="678">
        <v>1131898</v>
      </c>
      <c r="AA102" s="679">
        <v>887799</v>
      </c>
      <c r="AB102" s="678">
        <v>860225</v>
      </c>
      <c r="AC102" s="679">
        <v>1107926</v>
      </c>
      <c r="AD102" s="678">
        <v>1069541</v>
      </c>
      <c r="AE102" s="256">
        <f t="shared" si="52"/>
        <v>3181787</v>
      </c>
      <c r="AF102" s="89">
        <f t="shared" si="36"/>
        <v>3535.318888888889</v>
      </c>
      <c r="AG102" s="257">
        <f t="shared" si="53"/>
        <v>3061664</v>
      </c>
      <c r="AH102" s="79">
        <f t="shared" si="38"/>
        <v>3401.8488888888887</v>
      </c>
      <c r="AI102" s="679">
        <v>44814</v>
      </c>
      <c r="AJ102" s="678">
        <v>48770</v>
      </c>
      <c r="AK102" s="256">
        <f t="shared" si="54"/>
        <v>3181787</v>
      </c>
      <c r="AL102" s="434">
        <f t="shared" si="55"/>
        <v>3061664</v>
      </c>
      <c r="AM102" s="78"/>
      <c r="AN102" s="675"/>
      <c r="AO102" s="78"/>
      <c r="AP102" s="675"/>
      <c r="AQ102" s="78"/>
      <c r="AR102" s="675"/>
      <c r="AS102" s="78"/>
      <c r="AT102" s="675"/>
      <c r="AU102" s="258">
        <f t="shared" si="41"/>
        <v>0</v>
      </c>
      <c r="AV102" s="89">
        <f t="shared" si="42"/>
        <v>0</v>
      </c>
      <c r="AW102" s="257">
        <f t="shared" si="43"/>
        <v>0</v>
      </c>
      <c r="AX102" s="79">
        <f t="shared" si="44"/>
        <v>0</v>
      </c>
      <c r="AY102" s="259">
        <f t="shared" si="56"/>
        <v>12546.418888888889</v>
      </c>
      <c r="AZ102" s="79">
        <f t="shared" si="57"/>
        <v>13373.415555555555</v>
      </c>
      <c r="BA102" s="680"/>
    </row>
    <row r="103" spans="1:53">
      <c r="A103" s="280" t="s">
        <v>647</v>
      </c>
      <c r="B103" s="478" t="s">
        <v>137</v>
      </c>
      <c r="C103" s="280">
        <v>136358</v>
      </c>
      <c r="D103" s="268">
        <v>8</v>
      </c>
      <c r="E103" s="148" t="s">
        <v>393</v>
      </c>
      <c r="F103" s="149" t="s">
        <v>393</v>
      </c>
      <c r="G103" s="78"/>
      <c r="H103" s="675"/>
      <c r="I103" s="78">
        <v>172359</v>
      </c>
      <c r="J103" s="678">
        <v>197359</v>
      </c>
      <c r="K103" s="78">
        <v>77001</v>
      </c>
      <c r="L103" s="678">
        <v>87019</v>
      </c>
      <c r="M103" s="78">
        <v>202507</v>
      </c>
      <c r="N103" s="678">
        <v>230776</v>
      </c>
      <c r="O103" s="256">
        <f t="shared" si="47"/>
        <v>451867</v>
      </c>
      <c r="P103" s="89">
        <f t="shared" si="48"/>
        <v>15062.233333333334</v>
      </c>
      <c r="Q103" s="257">
        <f t="shared" si="49"/>
        <v>515154</v>
      </c>
      <c r="R103" s="79">
        <f t="shared" si="32"/>
        <v>17171.8</v>
      </c>
      <c r="S103" s="78">
        <v>10397</v>
      </c>
      <c r="T103" s="678">
        <v>14122</v>
      </c>
      <c r="U103" s="256">
        <f t="shared" si="50"/>
        <v>451867</v>
      </c>
      <c r="V103" s="434">
        <f t="shared" si="51"/>
        <v>515154</v>
      </c>
      <c r="W103" s="78"/>
      <c r="X103" s="675"/>
      <c r="Y103" s="679">
        <v>960460</v>
      </c>
      <c r="Z103" s="678">
        <v>912211</v>
      </c>
      <c r="AA103" s="679">
        <v>582060</v>
      </c>
      <c r="AB103" s="685">
        <v>488871</v>
      </c>
      <c r="AC103" s="679">
        <v>884467</v>
      </c>
      <c r="AD103" s="678">
        <v>748942</v>
      </c>
      <c r="AE103" s="256">
        <f t="shared" si="52"/>
        <v>2426987</v>
      </c>
      <c r="AF103" s="89">
        <f t="shared" si="36"/>
        <v>2696.652222222222</v>
      </c>
      <c r="AG103" s="257">
        <f t="shared" si="53"/>
        <v>2150024</v>
      </c>
      <c r="AH103" s="79">
        <f t="shared" si="38"/>
        <v>2388.9155555555553</v>
      </c>
      <c r="AI103" s="686">
        <v>274</v>
      </c>
      <c r="AJ103" s="685">
        <v>9736</v>
      </c>
      <c r="AK103" s="256">
        <f t="shared" si="54"/>
        <v>2426987</v>
      </c>
      <c r="AL103" s="434">
        <f t="shared" si="55"/>
        <v>2150024</v>
      </c>
      <c r="AM103" s="78"/>
      <c r="AN103" s="675"/>
      <c r="AO103" s="78"/>
      <c r="AP103" s="675"/>
      <c r="AQ103" s="78"/>
      <c r="AR103" s="675"/>
      <c r="AS103" s="78"/>
      <c r="AT103" s="675"/>
      <c r="AU103" s="258">
        <f t="shared" si="41"/>
        <v>0</v>
      </c>
      <c r="AV103" s="89">
        <f t="shared" si="42"/>
        <v>0</v>
      </c>
      <c r="AW103" s="257">
        <f t="shared" si="43"/>
        <v>0</v>
      </c>
      <c r="AX103" s="79">
        <f t="shared" si="44"/>
        <v>0</v>
      </c>
      <c r="AY103" s="259">
        <f t="shared" si="56"/>
        <v>17758.885555555556</v>
      </c>
      <c r="AZ103" s="79">
        <f t="shared" si="57"/>
        <v>19560.715555555555</v>
      </c>
      <c r="BA103" s="680"/>
    </row>
    <row r="104" spans="1:53">
      <c r="A104" s="482" t="s">
        <v>647</v>
      </c>
      <c r="B104" s="478" t="s">
        <v>138</v>
      </c>
      <c r="C104" s="280">
        <v>136400</v>
      </c>
      <c r="D104" s="268">
        <v>8</v>
      </c>
      <c r="E104" s="148" t="s">
        <v>393</v>
      </c>
      <c r="F104" s="149" t="s">
        <v>393</v>
      </c>
      <c r="G104" s="78"/>
      <c r="H104" s="675"/>
      <c r="I104" s="78">
        <v>66278</v>
      </c>
      <c r="J104" s="678">
        <v>73450</v>
      </c>
      <c r="K104" s="78">
        <v>20786</v>
      </c>
      <c r="L104" s="678">
        <v>24955</v>
      </c>
      <c r="M104" s="78">
        <v>74361</v>
      </c>
      <c r="N104" s="678">
        <v>87308</v>
      </c>
      <c r="O104" s="256">
        <f t="shared" si="47"/>
        <v>161425</v>
      </c>
      <c r="P104" s="89">
        <f t="shared" si="48"/>
        <v>5380.833333333333</v>
      </c>
      <c r="Q104" s="257">
        <f t="shared" si="49"/>
        <v>185713</v>
      </c>
      <c r="R104" s="79">
        <f t="shared" si="32"/>
        <v>6190.4333333333334</v>
      </c>
      <c r="S104" s="78">
        <v>13905</v>
      </c>
      <c r="T104" s="678">
        <v>15214</v>
      </c>
      <c r="U104" s="256">
        <f t="shared" si="50"/>
        <v>161425</v>
      </c>
      <c r="V104" s="434">
        <f t="shared" si="51"/>
        <v>185713</v>
      </c>
      <c r="W104" s="78"/>
      <c r="X104" s="675"/>
      <c r="Y104" s="679">
        <v>157103</v>
      </c>
      <c r="Z104" s="678">
        <v>185052</v>
      </c>
      <c r="AA104" s="679">
        <v>88947</v>
      </c>
      <c r="AB104" s="678">
        <v>120958</v>
      </c>
      <c r="AC104" s="679">
        <v>159128</v>
      </c>
      <c r="AD104" s="678">
        <v>216745</v>
      </c>
      <c r="AE104" s="256">
        <f t="shared" si="52"/>
        <v>405178</v>
      </c>
      <c r="AF104" s="89">
        <f t="shared" si="36"/>
        <v>450.19777777777779</v>
      </c>
      <c r="AG104" s="257">
        <f t="shared" si="53"/>
        <v>522755</v>
      </c>
      <c r="AH104" s="79">
        <f t="shared" si="38"/>
        <v>580.83888888888885</v>
      </c>
      <c r="AI104" s="679">
        <v>4700</v>
      </c>
      <c r="AJ104" s="678">
        <v>13085</v>
      </c>
      <c r="AK104" s="256">
        <f t="shared" si="54"/>
        <v>405178</v>
      </c>
      <c r="AL104" s="434">
        <f t="shared" si="55"/>
        <v>522755</v>
      </c>
      <c r="AM104" s="78"/>
      <c r="AN104" s="675"/>
      <c r="AO104" s="78"/>
      <c r="AP104" s="675"/>
      <c r="AQ104" s="78"/>
      <c r="AR104" s="675"/>
      <c r="AS104" s="78"/>
      <c r="AT104" s="675"/>
      <c r="AU104" s="258">
        <f t="shared" si="41"/>
        <v>0</v>
      </c>
      <c r="AV104" s="89">
        <f t="shared" si="42"/>
        <v>0</v>
      </c>
      <c r="AW104" s="257">
        <f t="shared" si="43"/>
        <v>0</v>
      </c>
      <c r="AX104" s="79">
        <f t="shared" si="44"/>
        <v>0</v>
      </c>
      <c r="AY104" s="259">
        <f t="shared" si="56"/>
        <v>5831.0311111111105</v>
      </c>
      <c r="AZ104" s="79">
        <f t="shared" si="57"/>
        <v>6771.2722222222219</v>
      </c>
      <c r="BA104" s="680"/>
    </row>
    <row r="105" spans="1:53">
      <c r="A105" s="280" t="s">
        <v>647</v>
      </c>
      <c r="B105" s="478" t="s">
        <v>139</v>
      </c>
      <c r="C105" s="280">
        <v>136473</v>
      </c>
      <c r="D105" s="268">
        <v>8</v>
      </c>
      <c r="E105" s="148" t="s">
        <v>393</v>
      </c>
      <c r="F105" s="149" t="s">
        <v>393</v>
      </c>
      <c r="G105" s="78"/>
      <c r="H105" s="675"/>
      <c r="I105" s="78">
        <v>91540</v>
      </c>
      <c r="J105" s="678">
        <v>93038</v>
      </c>
      <c r="K105" s="78">
        <v>34536</v>
      </c>
      <c r="L105" s="678">
        <v>36211</v>
      </c>
      <c r="M105" s="78">
        <v>94363</v>
      </c>
      <c r="N105" s="678">
        <v>102388</v>
      </c>
      <c r="O105" s="256">
        <f t="shared" si="47"/>
        <v>220439</v>
      </c>
      <c r="P105" s="89">
        <f t="shared" si="48"/>
        <v>7347.9666666666662</v>
      </c>
      <c r="Q105" s="257">
        <f t="shared" si="49"/>
        <v>231637</v>
      </c>
      <c r="R105" s="79">
        <f t="shared" si="32"/>
        <v>7721.2333333333336</v>
      </c>
      <c r="S105" s="78">
        <v>25151</v>
      </c>
      <c r="T105" s="678">
        <v>23308</v>
      </c>
      <c r="U105" s="256">
        <f t="shared" si="50"/>
        <v>220439</v>
      </c>
      <c r="V105" s="434">
        <f t="shared" si="51"/>
        <v>231637</v>
      </c>
      <c r="W105" s="78"/>
      <c r="X105" s="675"/>
      <c r="Y105" s="679">
        <v>401564</v>
      </c>
      <c r="Z105" s="678">
        <v>463692</v>
      </c>
      <c r="AA105" s="679">
        <v>265990</v>
      </c>
      <c r="AB105" s="678">
        <v>257934</v>
      </c>
      <c r="AC105" s="679">
        <v>463155</v>
      </c>
      <c r="AD105" s="678">
        <v>468148</v>
      </c>
      <c r="AE105" s="256">
        <f t="shared" si="52"/>
        <v>1130709</v>
      </c>
      <c r="AF105" s="89">
        <f t="shared" si="36"/>
        <v>1256.3433333333332</v>
      </c>
      <c r="AG105" s="257">
        <f t="shared" si="53"/>
        <v>1189774</v>
      </c>
      <c r="AH105" s="79">
        <f t="shared" si="38"/>
        <v>1321.9711111111112</v>
      </c>
      <c r="AI105" s="679">
        <v>2640</v>
      </c>
      <c r="AJ105" s="678">
        <v>2910</v>
      </c>
      <c r="AK105" s="256">
        <f t="shared" si="54"/>
        <v>1130709</v>
      </c>
      <c r="AL105" s="434">
        <f t="shared" si="55"/>
        <v>1189774</v>
      </c>
      <c r="AM105" s="78"/>
      <c r="AN105" s="675"/>
      <c r="AO105" s="78"/>
      <c r="AP105" s="675"/>
      <c r="AQ105" s="78"/>
      <c r="AR105" s="675"/>
      <c r="AS105" s="78"/>
      <c r="AT105" s="675"/>
      <c r="AU105" s="258">
        <f t="shared" si="41"/>
        <v>0</v>
      </c>
      <c r="AV105" s="89">
        <f t="shared" si="42"/>
        <v>0</v>
      </c>
      <c r="AW105" s="257">
        <f t="shared" si="43"/>
        <v>0</v>
      </c>
      <c r="AX105" s="79">
        <f t="shared" si="44"/>
        <v>0</v>
      </c>
      <c r="AY105" s="259">
        <f t="shared" si="56"/>
        <v>8604.31</v>
      </c>
      <c r="AZ105" s="79">
        <f t="shared" si="57"/>
        <v>9043.2044444444455</v>
      </c>
      <c r="BA105" s="680"/>
    </row>
    <row r="106" spans="1:53">
      <c r="A106" s="280" t="s">
        <v>647</v>
      </c>
      <c r="B106" s="479" t="s">
        <v>140</v>
      </c>
      <c r="C106" s="480">
        <v>136516</v>
      </c>
      <c r="D106" s="481">
        <v>8</v>
      </c>
      <c r="E106" s="148" t="s">
        <v>393</v>
      </c>
      <c r="F106" s="149" t="s">
        <v>393</v>
      </c>
      <c r="G106" s="78"/>
      <c r="H106" s="675"/>
      <c r="I106" s="78">
        <v>62691</v>
      </c>
      <c r="J106" s="678">
        <v>71147</v>
      </c>
      <c r="K106" s="78">
        <v>26582</v>
      </c>
      <c r="L106" s="678">
        <v>30433</v>
      </c>
      <c r="M106" s="78">
        <v>73173</v>
      </c>
      <c r="N106" s="678">
        <v>80213</v>
      </c>
      <c r="O106" s="256">
        <f t="shared" si="47"/>
        <v>162446</v>
      </c>
      <c r="P106" s="89">
        <f t="shared" si="48"/>
        <v>5414.8666666666668</v>
      </c>
      <c r="Q106" s="257">
        <f t="shared" si="49"/>
        <v>181793</v>
      </c>
      <c r="R106" s="79">
        <f t="shared" si="32"/>
        <v>6059.7666666666664</v>
      </c>
      <c r="S106" s="78">
        <v>13762</v>
      </c>
      <c r="T106" s="678">
        <v>10659</v>
      </c>
      <c r="U106" s="256">
        <f t="shared" si="50"/>
        <v>162446</v>
      </c>
      <c r="V106" s="434">
        <f t="shared" si="51"/>
        <v>181793</v>
      </c>
      <c r="W106" s="78"/>
      <c r="X106" s="675"/>
      <c r="Y106" s="679">
        <v>108646</v>
      </c>
      <c r="Z106" s="678">
        <v>118569</v>
      </c>
      <c r="AA106" s="679">
        <v>61594</v>
      </c>
      <c r="AB106" s="678">
        <v>48048</v>
      </c>
      <c r="AC106" s="679">
        <v>86814</v>
      </c>
      <c r="AD106" s="678">
        <v>103976</v>
      </c>
      <c r="AE106" s="256">
        <f t="shared" si="52"/>
        <v>257054</v>
      </c>
      <c r="AF106" s="89">
        <f t="shared" si="36"/>
        <v>285.61555555555555</v>
      </c>
      <c r="AG106" s="257">
        <f t="shared" si="53"/>
        <v>270593</v>
      </c>
      <c r="AH106" s="79">
        <f t="shared" si="38"/>
        <v>300.6588888888889</v>
      </c>
      <c r="AI106" s="679">
        <v>0</v>
      </c>
      <c r="AJ106" s="678">
        <v>0</v>
      </c>
      <c r="AK106" s="256">
        <f t="shared" si="54"/>
        <v>257054</v>
      </c>
      <c r="AL106" s="434">
        <f t="shared" si="55"/>
        <v>270593</v>
      </c>
      <c r="AM106" s="78"/>
      <c r="AN106" s="675"/>
      <c r="AO106" s="78"/>
      <c r="AP106" s="675"/>
      <c r="AQ106" s="78"/>
      <c r="AR106" s="675"/>
      <c r="AS106" s="78"/>
      <c r="AT106" s="675"/>
      <c r="AU106" s="258">
        <f t="shared" si="41"/>
        <v>0</v>
      </c>
      <c r="AV106" s="89">
        <f t="shared" si="42"/>
        <v>0</v>
      </c>
      <c r="AW106" s="257">
        <f t="shared" si="43"/>
        <v>0</v>
      </c>
      <c r="AX106" s="79">
        <f t="shared" si="44"/>
        <v>0</v>
      </c>
      <c r="AY106" s="259">
        <f t="shared" si="56"/>
        <v>5700.4822222222219</v>
      </c>
      <c r="AZ106" s="79">
        <f t="shared" si="57"/>
        <v>6360.4255555555555</v>
      </c>
      <c r="BA106" s="680"/>
    </row>
    <row r="107" spans="1:53">
      <c r="A107" s="280" t="s">
        <v>647</v>
      </c>
      <c r="B107" s="478" t="s">
        <v>143</v>
      </c>
      <c r="C107" s="280">
        <v>137096</v>
      </c>
      <c r="D107" s="268">
        <v>8</v>
      </c>
      <c r="E107" s="148" t="s">
        <v>393</v>
      </c>
      <c r="F107" s="149" t="s">
        <v>393</v>
      </c>
      <c r="G107" s="78"/>
      <c r="H107" s="675"/>
      <c r="I107" s="78">
        <v>139690</v>
      </c>
      <c r="J107" s="678">
        <v>135579</v>
      </c>
      <c r="K107" s="78">
        <v>57454</v>
      </c>
      <c r="L107" s="678">
        <v>58401</v>
      </c>
      <c r="M107" s="78">
        <v>146574</v>
      </c>
      <c r="N107" s="678">
        <v>148075</v>
      </c>
      <c r="O107" s="256">
        <f t="shared" si="47"/>
        <v>343718</v>
      </c>
      <c r="P107" s="89">
        <f t="shared" si="48"/>
        <v>11457.266666666666</v>
      </c>
      <c r="Q107" s="257">
        <f t="shared" si="49"/>
        <v>342055</v>
      </c>
      <c r="R107" s="79">
        <f t="shared" si="32"/>
        <v>11401.833333333334</v>
      </c>
      <c r="S107" s="78">
        <v>11616</v>
      </c>
      <c r="T107" s="678">
        <v>10802</v>
      </c>
      <c r="U107" s="256">
        <f t="shared" si="50"/>
        <v>343718</v>
      </c>
      <c r="V107" s="434">
        <f t="shared" si="51"/>
        <v>342055</v>
      </c>
      <c r="W107" s="78"/>
      <c r="X107" s="675"/>
      <c r="Y107" s="679">
        <v>61518</v>
      </c>
      <c r="Z107" s="685">
        <v>261297</v>
      </c>
      <c r="AA107" s="679">
        <v>166674</v>
      </c>
      <c r="AB107" s="678">
        <v>190484</v>
      </c>
      <c r="AC107" s="679">
        <v>276021</v>
      </c>
      <c r="AD107" s="678">
        <v>253300</v>
      </c>
      <c r="AE107" s="256">
        <f t="shared" si="52"/>
        <v>504213</v>
      </c>
      <c r="AF107" s="89">
        <f t="shared" si="36"/>
        <v>560.23666666666668</v>
      </c>
      <c r="AG107" s="257">
        <f t="shared" si="53"/>
        <v>705081</v>
      </c>
      <c r="AH107" s="79">
        <f t="shared" si="38"/>
        <v>783.42333333333329</v>
      </c>
      <c r="AI107" s="679">
        <v>2726</v>
      </c>
      <c r="AJ107" s="678">
        <v>4113</v>
      </c>
      <c r="AK107" s="256">
        <f t="shared" si="54"/>
        <v>504213</v>
      </c>
      <c r="AL107" s="434">
        <f t="shared" si="55"/>
        <v>705081</v>
      </c>
      <c r="AM107" s="78"/>
      <c r="AN107" s="675"/>
      <c r="AO107" s="78"/>
      <c r="AP107" s="675"/>
      <c r="AQ107" s="78"/>
      <c r="AR107" s="675"/>
      <c r="AS107" s="78"/>
      <c r="AT107" s="675"/>
      <c r="AU107" s="258">
        <f t="shared" si="41"/>
        <v>0</v>
      </c>
      <c r="AV107" s="89">
        <f t="shared" si="42"/>
        <v>0</v>
      </c>
      <c r="AW107" s="257">
        <f t="shared" si="43"/>
        <v>0</v>
      </c>
      <c r="AX107" s="79">
        <f t="shared" si="44"/>
        <v>0</v>
      </c>
      <c r="AY107" s="259">
        <f t="shared" si="56"/>
        <v>12017.503333333334</v>
      </c>
      <c r="AZ107" s="79">
        <f t="shared" si="57"/>
        <v>12185.256666666668</v>
      </c>
      <c r="BA107" s="680"/>
    </row>
    <row r="108" spans="1:53">
      <c r="A108" s="280" t="s">
        <v>647</v>
      </c>
      <c r="B108" s="478" t="s">
        <v>144</v>
      </c>
      <c r="C108" s="280">
        <v>137209</v>
      </c>
      <c r="D108" s="268">
        <v>8</v>
      </c>
      <c r="E108" s="148" t="s">
        <v>393</v>
      </c>
      <c r="F108" s="149" t="s">
        <v>393</v>
      </c>
      <c r="G108" s="78"/>
      <c r="H108" s="675"/>
      <c r="I108" s="78">
        <v>103483</v>
      </c>
      <c r="J108" s="678">
        <v>123682</v>
      </c>
      <c r="K108" s="78">
        <v>46304</v>
      </c>
      <c r="L108" s="678">
        <v>57788</v>
      </c>
      <c r="M108" s="78">
        <v>122395</v>
      </c>
      <c r="N108" s="678">
        <v>149453</v>
      </c>
      <c r="O108" s="256">
        <f t="shared" si="47"/>
        <v>272182</v>
      </c>
      <c r="P108" s="89">
        <f t="shared" si="48"/>
        <v>9072.7333333333336</v>
      </c>
      <c r="Q108" s="257">
        <f t="shared" si="49"/>
        <v>330923</v>
      </c>
      <c r="R108" s="79">
        <f t="shared" si="32"/>
        <v>11030.766666666666</v>
      </c>
      <c r="S108" s="78">
        <v>4876</v>
      </c>
      <c r="T108" s="678">
        <v>5223</v>
      </c>
      <c r="U108" s="256">
        <f t="shared" si="50"/>
        <v>272182</v>
      </c>
      <c r="V108" s="434">
        <f t="shared" si="51"/>
        <v>330923</v>
      </c>
      <c r="W108" s="78"/>
      <c r="X108" s="675"/>
      <c r="Y108" s="679">
        <v>826727</v>
      </c>
      <c r="Z108" s="678">
        <v>790694</v>
      </c>
      <c r="AA108" s="679">
        <v>554733</v>
      </c>
      <c r="AB108" s="678">
        <v>498528</v>
      </c>
      <c r="AC108" s="679">
        <v>778892</v>
      </c>
      <c r="AD108" s="678">
        <v>661764</v>
      </c>
      <c r="AE108" s="256">
        <f t="shared" si="52"/>
        <v>2160352</v>
      </c>
      <c r="AF108" s="89">
        <f t="shared" si="36"/>
        <v>2400.3911111111111</v>
      </c>
      <c r="AG108" s="257">
        <f t="shared" si="53"/>
        <v>1950986</v>
      </c>
      <c r="AH108" s="79">
        <f t="shared" si="38"/>
        <v>2167.7622222222221</v>
      </c>
      <c r="AI108" s="686">
        <v>20469</v>
      </c>
      <c r="AJ108" s="685">
        <v>9926</v>
      </c>
      <c r="AK108" s="256">
        <f t="shared" si="54"/>
        <v>2160352</v>
      </c>
      <c r="AL108" s="434">
        <f t="shared" si="55"/>
        <v>1950986</v>
      </c>
      <c r="AM108" s="78"/>
      <c r="AN108" s="675"/>
      <c r="AO108" s="78"/>
      <c r="AP108" s="675"/>
      <c r="AQ108" s="78"/>
      <c r="AR108" s="675"/>
      <c r="AS108" s="78"/>
      <c r="AT108" s="675"/>
      <c r="AU108" s="258">
        <f t="shared" si="41"/>
        <v>0</v>
      </c>
      <c r="AV108" s="89">
        <f t="shared" si="42"/>
        <v>0</v>
      </c>
      <c r="AW108" s="257">
        <f t="shared" si="43"/>
        <v>0</v>
      </c>
      <c r="AX108" s="79">
        <f t="shared" si="44"/>
        <v>0</v>
      </c>
      <c r="AY108" s="259">
        <f t="shared" si="56"/>
        <v>11473.124444444446</v>
      </c>
      <c r="AZ108" s="79">
        <f t="shared" si="57"/>
        <v>13198.528888888888</v>
      </c>
      <c r="BA108" s="680"/>
    </row>
    <row r="109" spans="1:53">
      <c r="A109" s="280" t="s">
        <v>647</v>
      </c>
      <c r="B109" s="478" t="s">
        <v>842</v>
      </c>
      <c r="C109" s="280">
        <v>135391</v>
      </c>
      <c r="D109" s="268">
        <v>8</v>
      </c>
      <c r="E109" s="148" t="s">
        <v>393</v>
      </c>
      <c r="F109" s="149" t="s">
        <v>393</v>
      </c>
      <c r="G109" s="78"/>
      <c r="H109" s="675"/>
      <c r="I109" s="78">
        <v>96769</v>
      </c>
      <c r="J109" s="678">
        <v>107213</v>
      </c>
      <c r="K109" s="78">
        <v>35429</v>
      </c>
      <c r="L109" s="678">
        <v>42301</v>
      </c>
      <c r="M109" s="78">
        <v>109207</v>
      </c>
      <c r="N109" s="678">
        <v>122872</v>
      </c>
      <c r="O109" s="256">
        <f t="shared" si="47"/>
        <v>241405</v>
      </c>
      <c r="P109" s="89">
        <f t="shared" si="48"/>
        <v>8046.833333333333</v>
      </c>
      <c r="Q109" s="257">
        <f t="shared" si="49"/>
        <v>272386</v>
      </c>
      <c r="R109" s="79">
        <f t="shared" si="32"/>
        <v>9079.5333333333328</v>
      </c>
      <c r="S109" s="78">
        <v>11782</v>
      </c>
      <c r="T109" s="678">
        <v>15512</v>
      </c>
      <c r="U109" s="256">
        <f t="shared" si="50"/>
        <v>241405</v>
      </c>
      <c r="V109" s="434">
        <f t="shared" si="51"/>
        <v>272386</v>
      </c>
      <c r="W109" s="78"/>
      <c r="X109" s="675"/>
      <c r="Y109" s="679">
        <v>58856</v>
      </c>
      <c r="Z109" s="685">
        <v>80416</v>
      </c>
      <c r="AA109" s="679">
        <v>67213</v>
      </c>
      <c r="AB109" s="685">
        <v>43581</v>
      </c>
      <c r="AC109" s="679">
        <v>50870</v>
      </c>
      <c r="AD109" s="678">
        <v>45870</v>
      </c>
      <c r="AE109" s="256">
        <f t="shared" si="52"/>
        <v>176939</v>
      </c>
      <c r="AF109" s="89">
        <f t="shared" si="36"/>
        <v>196.59888888888889</v>
      </c>
      <c r="AG109" s="257">
        <f t="shared" si="53"/>
        <v>169867</v>
      </c>
      <c r="AH109" s="79">
        <f t="shared" si="38"/>
        <v>188.74111111111111</v>
      </c>
      <c r="AI109" s="679">
        <v>0</v>
      </c>
      <c r="AJ109" s="678">
        <v>0</v>
      </c>
      <c r="AK109" s="256">
        <f t="shared" si="54"/>
        <v>176939</v>
      </c>
      <c r="AL109" s="434">
        <f t="shared" si="55"/>
        <v>169867</v>
      </c>
      <c r="AM109" s="78"/>
      <c r="AN109" s="675"/>
      <c r="AO109" s="78"/>
      <c r="AP109" s="675"/>
      <c r="AQ109" s="78"/>
      <c r="AR109" s="675"/>
      <c r="AS109" s="78"/>
      <c r="AT109" s="675"/>
      <c r="AU109" s="258">
        <f t="shared" si="41"/>
        <v>0</v>
      </c>
      <c r="AV109" s="89">
        <f t="shared" si="42"/>
        <v>0</v>
      </c>
      <c r="AW109" s="257">
        <f t="shared" si="43"/>
        <v>0</v>
      </c>
      <c r="AX109" s="79">
        <f t="shared" si="44"/>
        <v>0</v>
      </c>
      <c r="AY109" s="259">
        <f t="shared" si="56"/>
        <v>8243.4322222222218</v>
      </c>
      <c r="AZ109" s="79">
        <f t="shared" si="57"/>
        <v>9268.2744444444434</v>
      </c>
      <c r="BA109" s="680"/>
    </row>
    <row r="110" spans="1:53">
      <c r="A110" s="280" t="s">
        <v>647</v>
      </c>
      <c r="B110" s="478" t="s">
        <v>146</v>
      </c>
      <c r="C110" s="280">
        <v>137759</v>
      </c>
      <c r="D110" s="268">
        <v>8</v>
      </c>
      <c r="E110" s="148" t="s">
        <v>393</v>
      </c>
      <c r="F110" s="149" t="s">
        <v>393</v>
      </c>
      <c r="G110" s="78"/>
      <c r="H110" s="675"/>
      <c r="I110" s="78">
        <v>120032</v>
      </c>
      <c r="J110" s="678">
        <v>127049</v>
      </c>
      <c r="K110" s="78">
        <v>53130</v>
      </c>
      <c r="L110" s="678">
        <v>57707</v>
      </c>
      <c r="M110" s="78">
        <v>135412</v>
      </c>
      <c r="N110" s="678">
        <v>142348</v>
      </c>
      <c r="O110" s="256">
        <f t="shared" si="47"/>
        <v>308574</v>
      </c>
      <c r="P110" s="89">
        <f t="shared" si="48"/>
        <v>10285.799999999999</v>
      </c>
      <c r="Q110" s="257">
        <f t="shared" si="49"/>
        <v>327104</v>
      </c>
      <c r="R110" s="79">
        <f t="shared" si="32"/>
        <v>10903.466666666667</v>
      </c>
      <c r="S110" s="674">
        <v>8713</v>
      </c>
      <c r="T110" s="678">
        <v>7977</v>
      </c>
      <c r="U110" s="256">
        <f t="shared" si="50"/>
        <v>308574</v>
      </c>
      <c r="V110" s="434">
        <f t="shared" si="51"/>
        <v>327104</v>
      </c>
      <c r="W110" s="78"/>
      <c r="X110" s="675"/>
      <c r="Y110" s="679">
        <v>536091</v>
      </c>
      <c r="Z110" s="685">
        <v>402594</v>
      </c>
      <c r="AA110" s="679">
        <v>335499</v>
      </c>
      <c r="AB110" s="678">
        <v>309264</v>
      </c>
      <c r="AC110" s="686">
        <v>545793</v>
      </c>
      <c r="AD110" s="685">
        <v>469802</v>
      </c>
      <c r="AE110" s="256">
        <f t="shared" si="52"/>
        <v>1417383</v>
      </c>
      <c r="AF110" s="89">
        <f t="shared" si="36"/>
        <v>1574.87</v>
      </c>
      <c r="AG110" s="257">
        <f t="shared" si="53"/>
        <v>1181660</v>
      </c>
      <c r="AH110" s="79">
        <f t="shared" si="38"/>
        <v>1312.9555555555555</v>
      </c>
      <c r="AI110" s="679">
        <v>12696</v>
      </c>
      <c r="AJ110" s="678">
        <v>12696</v>
      </c>
      <c r="AK110" s="256">
        <f t="shared" si="54"/>
        <v>1417383</v>
      </c>
      <c r="AL110" s="434">
        <f t="shared" si="55"/>
        <v>1181660</v>
      </c>
      <c r="AM110" s="78"/>
      <c r="AN110" s="675"/>
      <c r="AO110" s="78"/>
      <c r="AP110" s="675"/>
      <c r="AQ110" s="78"/>
      <c r="AR110" s="675"/>
      <c r="AS110" s="78"/>
      <c r="AT110" s="675"/>
      <c r="AU110" s="258">
        <f t="shared" si="41"/>
        <v>0</v>
      </c>
      <c r="AV110" s="89">
        <f t="shared" si="42"/>
        <v>0</v>
      </c>
      <c r="AW110" s="257">
        <f t="shared" si="43"/>
        <v>0</v>
      </c>
      <c r="AX110" s="79">
        <f t="shared" si="44"/>
        <v>0</v>
      </c>
      <c r="AY110" s="259">
        <f t="shared" si="56"/>
        <v>11860.669999999998</v>
      </c>
      <c r="AZ110" s="79">
        <f t="shared" si="57"/>
        <v>12216.422222222223</v>
      </c>
      <c r="BA110" s="680"/>
    </row>
    <row r="111" spans="1:53">
      <c r="A111" s="280" t="s">
        <v>647</v>
      </c>
      <c r="B111" s="478" t="s">
        <v>147</v>
      </c>
      <c r="C111" s="280">
        <v>138187</v>
      </c>
      <c r="D111" s="268">
        <v>8</v>
      </c>
      <c r="E111" s="148" t="s">
        <v>393</v>
      </c>
      <c r="F111" s="149" t="s">
        <v>393</v>
      </c>
      <c r="G111" s="78"/>
      <c r="H111" s="675"/>
      <c r="I111" s="78">
        <v>283518</v>
      </c>
      <c r="J111" s="678">
        <v>316829</v>
      </c>
      <c r="K111" s="78">
        <v>129718</v>
      </c>
      <c r="L111" s="678">
        <v>150043</v>
      </c>
      <c r="M111" s="78">
        <v>323992</v>
      </c>
      <c r="N111" s="678">
        <v>360933</v>
      </c>
      <c r="O111" s="256">
        <f t="shared" si="47"/>
        <v>737228</v>
      </c>
      <c r="P111" s="89">
        <f t="shared" si="48"/>
        <v>24574.266666666666</v>
      </c>
      <c r="Q111" s="257">
        <f t="shared" si="49"/>
        <v>827805</v>
      </c>
      <c r="R111" s="79">
        <f t="shared" si="32"/>
        <v>27593.5</v>
      </c>
      <c r="S111" s="674">
        <v>25442</v>
      </c>
      <c r="T111" s="678">
        <v>29843</v>
      </c>
      <c r="U111" s="256">
        <f t="shared" si="50"/>
        <v>737228</v>
      </c>
      <c r="V111" s="434">
        <f t="shared" si="51"/>
        <v>827805</v>
      </c>
      <c r="W111" s="78"/>
      <c r="X111" s="675"/>
      <c r="Y111" s="679">
        <v>306819</v>
      </c>
      <c r="Z111" s="685">
        <v>256896</v>
      </c>
      <c r="AA111" s="679">
        <v>139516</v>
      </c>
      <c r="AB111" s="685">
        <v>75987</v>
      </c>
      <c r="AC111" s="686">
        <v>228973</v>
      </c>
      <c r="AD111" s="685">
        <v>181202</v>
      </c>
      <c r="AE111" s="256">
        <f t="shared" si="52"/>
        <v>675308</v>
      </c>
      <c r="AF111" s="89">
        <f t="shared" si="36"/>
        <v>750.34222222222218</v>
      </c>
      <c r="AG111" s="257">
        <f t="shared" si="53"/>
        <v>514085</v>
      </c>
      <c r="AH111" s="79">
        <f t="shared" si="38"/>
        <v>571.20555555555552</v>
      </c>
      <c r="AI111" s="679">
        <v>0</v>
      </c>
      <c r="AJ111" s="678">
        <v>0</v>
      </c>
      <c r="AK111" s="256">
        <f t="shared" si="54"/>
        <v>675308</v>
      </c>
      <c r="AL111" s="434">
        <f t="shared" si="55"/>
        <v>514085</v>
      </c>
      <c r="AM111" s="78"/>
      <c r="AN111" s="675"/>
      <c r="AO111" s="78"/>
      <c r="AP111" s="675"/>
      <c r="AQ111" s="78"/>
      <c r="AR111" s="675"/>
      <c r="AS111" s="78"/>
      <c r="AT111" s="675"/>
      <c r="AU111" s="258">
        <f t="shared" si="41"/>
        <v>0</v>
      </c>
      <c r="AV111" s="89">
        <f t="shared" si="42"/>
        <v>0</v>
      </c>
      <c r="AW111" s="257">
        <f t="shared" si="43"/>
        <v>0</v>
      </c>
      <c r="AX111" s="79">
        <f t="shared" si="44"/>
        <v>0</v>
      </c>
      <c r="AY111" s="259">
        <f t="shared" si="56"/>
        <v>25324.608888888888</v>
      </c>
      <c r="AZ111" s="79">
        <f t="shared" si="57"/>
        <v>28164.705555555556</v>
      </c>
      <c r="BA111" s="680"/>
    </row>
    <row r="112" spans="1:53">
      <c r="A112" s="280" t="s">
        <v>647</v>
      </c>
      <c r="B112" s="164" t="s">
        <v>125</v>
      </c>
      <c r="C112" s="280">
        <v>132851</v>
      </c>
      <c r="D112" s="268">
        <v>9</v>
      </c>
      <c r="E112" s="148" t="s">
        <v>393</v>
      </c>
      <c r="F112" s="149" t="s">
        <v>393</v>
      </c>
      <c r="G112" s="78"/>
      <c r="H112" s="675"/>
      <c r="I112" s="78">
        <v>53276</v>
      </c>
      <c r="J112" s="678">
        <v>61068</v>
      </c>
      <c r="K112" s="78">
        <v>19721</v>
      </c>
      <c r="L112" s="678">
        <v>22496</v>
      </c>
      <c r="M112" s="78">
        <v>61720</v>
      </c>
      <c r="N112" s="678">
        <v>73620</v>
      </c>
      <c r="O112" s="256">
        <f t="shared" si="47"/>
        <v>134717</v>
      </c>
      <c r="P112" s="89">
        <f t="shared" si="48"/>
        <v>4490.5666666666666</v>
      </c>
      <c r="Q112" s="257">
        <f t="shared" si="49"/>
        <v>157184</v>
      </c>
      <c r="R112" s="79">
        <f t="shared" si="32"/>
        <v>5239.4666666666662</v>
      </c>
      <c r="S112" s="674">
        <v>7298</v>
      </c>
      <c r="T112" s="678">
        <v>8054</v>
      </c>
      <c r="U112" s="256">
        <f t="shared" si="50"/>
        <v>134717</v>
      </c>
      <c r="V112" s="434">
        <f t="shared" si="51"/>
        <v>157184</v>
      </c>
      <c r="W112" s="78"/>
      <c r="X112" s="675"/>
      <c r="Y112" s="679">
        <v>264709</v>
      </c>
      <c r="Z112" s="678">
        <v>264177</v>
      </c>
      <c r="AA112" s="679">
        <v>175180</v>
      </c>
      <c r="AB112" s="678">
        <v>174422</v>
      </c>
      <c r="AC112" s="679">
        <v>232716</v>
      </c>
      <c r="AD112" s="678">
        <v>252744</v>
      </c>
      <c r="AE112" s="256">
        <f t="shared" si="52"/>
        <v>672605</v>
      </c>
      <c r="AF112" s="89">
        <f t="shared" si="36"/>
        <v>747.33888888888885</v>
      </c>
      <c r="AG112" s="257">
        <f t="shared" si="53"/>
        <v>691343</v>
      </c>
      <c r="AH112" s="79">
        <f t="shared" si="38"/>
        <v>768.1588888888889</v>
      </c>
      <c r="AI112" s="679">
        <v>2190</v>
      </c>
      <c r="AJ112" s="678">
        <v>3810</v>
      </c>
      <c r="AK112" s="256">
        <f t="shared" si="54"/>
        <v>672605</v>
      </c>
      <c r="AL112" s="434">
        <f t="shared" si="55"/>
        <v>691343</v>
      </c>
      <c r="AM112" s="78"/>
      <c r="AN112" s="675"/>
      <c r="AO112" s="78"/>
      <c r="AP112" s="675"/>
      <c r="AQ112" s="78"/>
      <c r="AR112" s="675"/>
      <c r="AS112" s="78"/>
      <c r="AT112" s="675"/>
      <c r="AU112" s="258">
        <f t="shared" si="41"/>
        <v>0</v>
      </c>
      <c r="AV112" s="89">
        <f t="shared" si="42"/>
        <v>0</v>
      </c>
      <c r="AW112" s="257">
        <f t="shared" si="43"/>
        <v>0</v>
      </c>
      <c r="AX112" s="79">
        <f t="shared" si="44"/>
        <v>0</v>
      </c>
      <c r="AY112" s="259">
        <f t="shared" si="56"/>
        <v>5237.9055555555551</v>
      </c>
      <c r="AZ112" s="79">
        <f t="shared" si="57"/>
        <v>6007.6255555555554</v>
      </c>
      <c r="BA112" s="680"/>
    </row>
    <row r="113" spans="1:53">
      <c r="A113" s="280" t="s">
        <v>647</v>
      </c>
      <c r="B113" s="164" t="s">
        <v>130</v>
      </c>
      <c r="C113" s="280">
        <v>134343</v>
      </c>
      <c r="D113" s="268">
        <v>9</v>
      </c>
      <c r="E113" s="148" t="s">
        <v>393</v>
      </c>
      <c r="F113" s="149" t="s">
        <v>393</v>
      </c>
      <c r="G113" s="78"/>
      <c r="H113" s="675"/>
      <c r="I113" s="78">
        <v>52275</v>
      </c>
      <c r="J113" s="678">
        <v>55143</v>
      </c>
      <c r="K113" s="78">
        <v>14613</v>
      </c>
      <c r="L113" s="678">
        <v>15834</v>
      </c>
      <c r="M113" s="78">
        <v>57368</v>
      </c>
      <c r="N113" s="678">
        <v>60260</v>
      </c>
      <c r="O113" s="256">
        <f t="shared" si="47"/>
        <v>124256</v>
      </c>
      <c r="P113" s="89">
        <f t="shared" si="48"/>
        <v>4141.8666666666668</v>
      </c>
      <c r="Q113" s="257">
        <f t="shared" si="49"/>
        <v>131237</v>
      </c>
      <c r="R113" s="79">
        <f t="shared" si="32"/>
        <v>4374.5666666666666</v>
      </c>
      <c r="S113" s="674">
        <v>15020</v>
      </c>
      <c r="T113" s="687">
        <v>16453</v>
      </c>
      <c r="U113" s="256">
        <f t="shared" si="50"/>
        <v>124256</v>
      </c>
      <c r="V113" s="434">
        <f t="shared" si="51"/>
        <v>131237</v>
      </c>
      <c r="W113" s="78"/>
      <c r="X113" s="675"/>
      <c r="Y113" s="679">
        <v>266191</v>
      </c>
      <c r="Z113" s="678">
        <v>221010</v>
      </c>
      <c r="AA113" s="679">
        <v>140050</v>
      </c>
      <c r="AB113" s="678">
        <v>146625</v>
      </c>
      <c r="AC113" s="679">
        <v>225665</v>
      </c>
      <c r="AD113" s="678">
        <v>195097</v>
      </c>
      <c r="AE113" s="256">
        <f t="shared" si="52"/>
        <v>631906</v>
      </c>
      <c r="AF113" s="89">
        <f t="shared" si="36"/>
        <v>702.11777777777775</v>
      </c>
      <c r="AG113" s="257">
        <f t="shared" si="53"/>
        <v>562732</v>
      </c>
      <c r="AH113" s="79">
        <f t="shared" si="38"/>
        <v>625.25777777777773</v>
      </c>
      <c r="AI113" s="679">
        <v>0</v>
      </c>
      <c r="AJ113" s="678">
        <v>0</v>
      </c>
      <c r="AK113" s="256">
        <f t="shared" si="54"/>
        <v>631906</v>
      </c>
      <c r="AL113" s="434">
        <f t="shared" si="55"/>
        <v>562732</v>
      </c>
      <c r="AM113" s="78"/>
      <c r="AN113" s="675"/>
      <c r="AO113" s="78"/>
      <c r="AP113" s="675"/>
      <c r="AQ113" s="78"/>
      <c r="AR113" s="675"/>
      <c r="AS113" s="78"/>
      <c r="AT113" s="675"/>
      <c r="AU113" s="258">
        <f t="shared" si="41"/>
        <v>0</v>
      </c>
      <c r="AV113" s="89">
        <f t="shared" si="42"/>
        <v>0</v>
      </c>
      <c r="AW113" s="257">
        <f t="shared" si="43"/>
        <v>0</v>
      </c>
      <c r="AX113" s="79">
        <f t="shared" si="44"/>
        <v>0</v>
      </c>
      <c r="AY113" s="259">
        <f t="shared" si="56"/>
        <v>4843.9844444444443</v>
      </c>
      <c r="AZ113" s="79">
        <f t="shared" si="57"/>
        <v>4999.8244444444445</v>
      </c>
      <c r="BA113" s="680"/>
    </row>
    <row r="114" spans="1:53">
      <c r="A114" s="280" t="s">
        <v>647</v>
      </c>
      <c r="B114" s="478" t="s">
        <v>133</v>
      </c>
      <c r="C114" s="280">
        <v>135160</v>
      </c>
      <c r="D114" s="268">
        <v>9</v>
      </c>
      <c r="E114" s="148" t="s">
        <v>393</v>
      </c>
      <c r="F114" s="483" t="s">
        <v>393</v>
      </c>
      <c r="G114" s="78"/>
      <c r="H114" s="675"/>
      <c r="I114" s="78">
        <v>22720</v>
      </c>
      <c r="J114" s="688">
        <v>22358</v>
      </c>
      <c r="K114" s="78">
        <v>9003</v>
      </c>
      <c r="L114" s="688">
        <v>9994</v>
      </c>
      <c r="M114" s="78">
        <v>22676</v>
      </c>
      <c r="N114" s="688">
        <v>24662</v>
      </c>
      <c r="O114" s="256">
        <f t="shared" si="47"/>
        <v>54399</v>
      </c>
      <c r="P114" s="89">
        <f t="shared" si="48"/>
        <v>1813.3</v>
      </c>
      <c r="Q114" s="257">
        <f t="shared" si="49"/>
        <v>57014</v>
      </c>
      <c r="R114" s="79">
        <f t="shared" si="32"/>
        <v>1900.4666666666667</v>
      </c>
      <c r="S114" s="674">
        <v>7403</v>
      </c>
      <c r="T114" s="687">
        <v>7851</v>
      </c>
      <c r="U114" s="256">
        <f t="shared" si="50"/>
        <v>54399</v>
      </c>
      <c r="V114" s="434">
        <f t="shared" si="51"/>
        <v>57014</v>
      </c>
      <c r="W114" s="78"/>
      <c r="X114" s="675"/>
      <c r="Y114" s="679">
        <v>94721</v>
      </c>
      <c r="Z114" s="678">
        <v>119546</v>
      </c>
      <c r="AA114" s="679">
        <v>76693</v>
      </c>
      <c r="AB114" s="678">
        <v>76160</v>
      </c>
      <c r="AC114" s="686">
        <v>84893</v>
      </c>
      <c r="AD114" s="685">
        <v>136236</v>
      </c>
      <c r="AE114" s="256">
        <f t="shared" si="52"/>
        <v>256307</v>
      </c>
      <c r="AF114" s="89">
        <f t="shared" si="36"/>
        <v>284.78555555555556</v>
      </c>
      <c r="AG114" s="257">
        <f t="shared" si="53"/>
        <v>331942</v>
      </c>
      <c r="AH114" s="79">
        <f t="shared" si="38"/>
        <v>368.82444444444445</v>
      </c>
      <c r="AI114" s="686">
        <v>630</v>
      </c>
      <c r="AJ114" s="685">
        <v>4780</v>
      </c>
      <c r="AK114" s="256">
        <f t="shared" si="54"/>
        <v>256307</v>
      </c>
      <c r="AL114" s="434">
        <f t="shared" si="55"/>
        <v>331942</v>
      </c>
      <c r="AM114" s="78"/>
      <c r="AN114" s="675"/>
      <c r="AO114" s="78"/>
      <c r="AP114" s="675"/>
      <c r="AQ114" s="78"/>
      <c r="AR114" s="675"/>
      <c r="AS114" s="78"/>
      <c r="AT114" s="675"/>
      <c r="AU114" s="258">
        <f t="shared" si="41"/>
        <v>0</v>
      </c>
      <c r="AV114" s="89">
        <f t="shared" si="42"/>
        <v>0</v>
      </c>
      <c r="AW114" s="257">
        <f t="shared" si="43"/>
        <v>0</v>
      </c>
      <c r="AX114" s="79">
        <f t="shared" si="44"/>
        <v>0</v>
      </c>
      <c r="AY114" s="259">
        <f t="shared" si="56"/>
        <v>2098.0855555555554</v>
      </c>
      <c r="AZ114" s="79">
        <f t="shared" si="57"/>
        <v>2269.2911111111111</v>
      </c>
      <c r="BA114" s="680"/>
    </row>
    <row r="115" spans="1:53">
      <c r="A115" s="280" t="s">
        <v>647</v>
      </c>
      <c r="B115" s="478" t="s">
        <v>134</v>
      </c>
      <c r="C115" s="280">
        <v>135188</v>
      </c>
      <c r="D115" s="268">
        <v>9</v>
      </c>
      <c r="E115" s="148" t="s">
        <v>393</v>
      </c>
      <c r="F115" s="483" t="s">
        <v>393</v>
      </c>
      <c r="G115" s="78"/>
      <c r="H115" s="675"/>
      <c r="I115" s="78">
        <v>32433</v>
      </c>
      <c r="J115" s="688">
        <v>35632</v>
      </c>
      <c r="K115" s="78">
        <v>10603</v>
      </c>
      <c r="L115" s="688">
        <v>12742</v>
      </c>
      <c r="M115" s="78">
        <v>36336</v>
      </c>
      <c r="N115" s="688">
        <v>40905</v>
      </c>
      <c r="O115" s="256">
        <f t="shared" si="47"/>
        <v>79372</v>
      </c>
      <c r="P115" s="89">
        <f t="shared" si="48"/>
        <v>2645.7333333333331</v>
      </c>
      <c r="Q115" s="257">
        <f t="shared" si="49"/>
        <v>89279</v>
      </c>
      <c r="R115" s="79">
        <f t="shared" si="32"/>
        <v>2975.9666666666667</v>
      </c>
      <c r="S115" s="674">
        <v>6832</v>
      </c>
      <c r="T115" s="687">
        <v>8826</v>
      </c>
      <c r="U115" s="256">
        <f t="shared" si="50"/>
        <v>79372</v>
      </c>
      <c r="V115" s="434">
        <f t="shared" si="51"/>
        <v>89279</v>
      </c>
      <c r="W115" s="78"/>
      <c r="X115" s="675"/>
      <c r="Y115" s="679">
        <v>19177</v>
      </c>
      <c r="Z115" s="678">
        <v>27686</v>
      </c>
      <c r="AA115" s="679">
        <v>18744</v>
      </c>
      <c r="AB115" s="678">
        <v>12851</v>
      </c>
      <c r="AC115" s="679">
        <v>27914</v>
      </c>
      <c r="AD115" s="678">
        <v>25320</v>
      </c>
      <c r="AE115" s="256">
        <f t="shared" si="52"/>
        <v>65835</v>
      </c>
      <c r="AF115" s="89">
        <f t="shared" si="36"/>
        <v>73.150000000000006</v>
      </c>
      <c r="AG115" s="257">
        <f t="shared" si="53"/>
        <v>65857</v>
      </c>
      <c r="AH115" s="79">
        <f t="shared" si="38"/>
        <v>73.174444444444447</v>
      </c>
      <c r="AI115" s="679">
        <v>0</v>
      </c>
      <c r="AJ115" s="678">
        <v>0</v>
      </c>
      <c r="AK115" s="256">
        <f t="shared" si="54"/>
        <v>65835</v>
      </c>
      <c r="AL115" s="434">
        <f t="shared" si="55"/>
        <v>65857</v>
      </c>
      <c r="AM115" s="78"/>
      <c r="AN115" s="675"/>
      <c r="AO115" s="78"/>
      <c r="AP115" s="675"/>
      <c r="AQ115" s="78"/>
      <c r="AR115" s="675"/>
      <c r="AS115" s="78"/>
      <c r="AT115" s="675"/>
      <c r="AU115" s="258">
        <f t="shared" si="41"/>
        <v>0</v>
      </c>
      <c r="AV115" s="89">
        <f t="shared" si="42"/>
        <v>0</v>
      </c>
      <c r="AW115" s="257">
        <f t="shared" si="43"/>
        <v>0</v>
      </c>
      <c r="AX115" s="79">
        <f t="shared" si="44"/>
        <v>0</v>
      </c>
      <c r="AY115" s="259">
        <f t="shared" si="56"/>
        <v>2718.8833333333332</v>
      </c>
      <c r="AZ115" s="79">
        <f t="shared" si="57"/>
        <v>3049.1411111111111</v>
      </c>
      <c r="BA115" s="680"/>
    </row>
    <row r="116" spans="1:53">
      <c r="A116" s="280" t="s">
        <v>647</v>
      </c>
      <c r="B116" s="478" t="s">
        <v>145</v>
      </c>
      <c r="C116" s="280">
        <v>137315</v>
      </c>
      <c r="D116" s="268">
        <v>9</v>
      </c>
      <c r="E116" s="148" t="s">
        <v>393</v>
      </c>
      <c r="F116" s="483" t="s">
        <v>393</v>
      </c>
      <c r="G116" s="78"/>
      <c r="H116" s="675"/>
      <c r="I116" s="78">
        <v>17445</v>
      </c>
      <c r="J116" s="688">
        <v>19463</v>
      </c>
      <c r="K116" s="78">
        <v>5400</v>
      </c>
      <c r="L116" s="688">
        <v>6184</v>
      </c>
      <c r="M116" s="78">
        <v>19738</v>
      </c>
      <c r="N116" s="688">
        <v>21887</v>
      </c>
      <c r="O116" s="256">
        <f t="shared" si="47"/>
        <v>42583</v>
      </c>
      <c r="P116" s="89">
        <f t="shared" si="48"/>
        <v>1419.4333333333334</v>
      </c>
      <c r="Q116" s="257">
        <f t="shared" si="49"/>
        <v>47534</v>
      </c>
      <c r="R116" s="79">
        <f t="shared" si="32"/>
        <v>1584.4666666666667</v>
      </c>
      <c r="S116" s="674">
        <v>5166</v>
      </c>
      <c r="T116" s="687">
        <v>5140</v>
      </c>
      <c r="U116" s="256">
        <f t="shared" si="50"/>
        <v>42583</v>
      </c>
      <c r="V116" s="434">
        <f t="shared" si="51"/>
        <v>47534</v>
      </c>
      <c r="W116" s="78"/>
      <c r="X116" s="675"/>
      <c r="Y116" s="679">
        <v>430118</v>
      </c>
      <c r="Z116" s="678">
        <v>429350</v>
      </c>
      <c r="AA116" s="679">
        <v>248597</v>
      </c>
      <c r="AB116" s="678">
        <v>264595</v>
      </c>
      <c r="AC116" s="679">
        <v>468793</v>
      </c>
      <c r="AD116" s="678">
        <v>422895</v>
      </c>
      <c r="AE116" s="256">
        <f t="shared" si="52"/>
        <v>1147508</v>
      </c>
      <c r="AF116" s="89">
        <f t="shared" si="36"/>
        <v>1275.0088888888888</v>
      </c>
      <c r="AG116" s="257">
        <f t="shared" si="53"/>
        <v>1116840</v>
      </c>
      <c r="AH116" s="79">
        <f t="shared" si="38"/>
        <v>1240.9333333333334</v>
      </c>
      <c r="AI116" s="679">
        <v>131644</v>
      </c>
      <c r="AJ116" s="678">
        <v>113601</v>
      </c>
      <c r="AK116" s="256">
        <f t="shared" si="54"/>
        <v>1147508</v>
      </c>
      <c r="AL116" s="434">
        <f t="shared" si="55"/>
        <v>1116840</v>
      </c>
      <c r="AM116" s="78"/>
      <c r="AN116" s="675"/>
      <c r="AO116" s="78"/>
      <c r="AP116" s="675"/>
      <c r="AQ116" s="78"/>
      <c r="AR116" s="675"/>
      <c r="AS116" s="78"/>
      <c r="AT116" s="675"/>
      <c r="AU116" s="258">
        <f t="shared" si="41"/>
        <v>0</v>
      </c>
      <c r="AV116" s="89">
        <f t="shared" si="42"/>
        <v>0</v>
      </c>
      <c r="AW116" s="257">
        <f t="shared" si="43"/>
        <v>0</v>
      </c>
      <c r="AX116" s="79">
        <f t="shared" si="44"/>
        <v>0</v>
      </c>
      <c r="AY116" s="259">
        <f t="shared" si="56"/>
        <v>2694.442222222222</v>
      </c>
      <c r="AZ116" s="79">
        <f t="shared" si="57"/>
        <v>2825.4</v>
      </c>
      <c r="BA116" s="680"/>
    </row>
    <row r="117" spans="1:53">
      <c r="A117" s="280" t="s">
        <v>647</v>
      </c>
      <c r="B117" s="478" t="s">
        <v>141</v>
      </c>
      <c r="C117" s="280">
        <v>137281</v>
      </c>
      <c r="D117" s="268">
        <v>9</v>
      </c>
      <c r="E117" s="148" t="s">
        <v>393</v>
      </c>
      <c r="F117" s="483" t="s">
        <v>393</v>
      </c>
      <c r="G117" s="78"/>
      <c r="H117" s="675"/>
      <c r="I117" s="78">
        <v>43468</v>
      </c>
      <c r="J117" s="688">
        <v>48834</v>
      </c>
      <c r="K117" s="78">
        <v>19427</v>
      </c>
      <c r="L117" s="688">
        <v>22224</v>
      </c>
      <c r="M117" s="78">
        <v>48449</v>
      </c>
      <c r="N117" s="688">
        <v>55222</v>
      </c>
      <c r="O117" s="256">
        <f t="shared" si="47"/>
        <v>111344</v>
      </c>
      <c r="P117" s="89">
        <f t="shared" si="48"/>
        <v>3711.4666666666667</v>
      </c>
      <c r="Q117" s="257">
        <f t="shared" si="49"/>
        <v>126280</v>
      </c>
      <c r="R117" s="79">
        <f t="shared" si="32"/>
        <v>4209.333333333333</v>
      </c>
      <c r="S117" s="674">
        <v>10096</v>
      </c>
      <c r="T117" s="687">
        <v>12315</v>
      </c>
      <c r="U117" s="256">
        <f t="shared" si="50"/>
        <v>111344</v>
      </c>
      <c r="V117" s="434">
        <f t="shared" si="51"/>
        <v>126280</v>
      </c>
      <c r="W117" s="78"/>
      <c r="X117" s="675"/>
      <c r="Y117" s="679">
        <v>221359</v>
      </c>
      <c r="Z117" s="678">
        <v>196969</v>
      </c>
      <c r="AA117" s="679">
        <v>135469</v>
      </c>
      <c r="AB117" s="678">
        <v>128795</v>
      </c>
      <c r="AC117" s="679">
        <v>243580</v>
      </c>
      <c r="AD117" s="678">
        <v>189331</v>
      </c>
      <c r="AE117" s="256">
        <f t="shared" si="52"/>
        <v>600408</v>
      </c>
      <c r="AF117" s="89">
        <f t="shared" si="36"/>
        <v>667.12</v>
      </c>
      <c r="AG117" s="257">
        <f t="shared" si="53"/>
        <v>515095</v>
      </c>
      <c r="AH117" s="79">
        <f t="shared" si="38"/>
        <v>572.32777777777778</v>
      </c>
      <c r="AI117" s="686">
        <v>0</v>
      </c>
      <c r="AJ117" s="678">
        <v>2475</v>
      </c>
      <c r="AK117" s="256">
        <f t="shared" si="54"/>
        <v>600408</v>
      </c>
      <c r="AL117" s="434">
        <f t="shared" si="55"/>
        <v>515095</v>
      </c>
      <c r="AM117" s="78"/>
      <c r="AN117" s="675"/>
      <c r="AO117" s="78"/>
      <c r="AP117" s="675"/>
      <c r="AQ117" s="78"/>
      <c r="AR117" s="675"/>
      <c r="AS117" s="78"/>
      <c r="AT117" s="675"/>
      <c r="AU117" s="258">
        <f t="shared" si="41"/>
        <v>0</v>
      </c>
      <c r="AV117" s="89">
        <f t="shared" si="42"/>
        <v>0</v>
      </c>
      <c r="AW117" s="257">
        <f t="shared" si="43"/>
        <v>0</v>
      </c>
      <c r="AX117" s="79">
        <f t="shared" si="44"/>
        <v>0</v>
      </c>
      <c r="AY117" s="259">
        <f t="shared" si="56"/>
        <v>4378.586666666667</v>
      </c>
      <c r="AZ117" s="79">
        <f t="shared" si="57"/>
        <v>4781.6611111111106</v>
      </c>
      <c r="BA117" s="680"/>
    </row>
    <row r="118" spans="1:53">
      <c r="A118" s="280" t="s">
        <v>647</v>
      </c>
      <c r="B118" s="478" t="s">
        <v>129</v>
      </c>
      <c r="C118" s="280">
        <v>133960</v>
      </c>
      <c r="D118" s="268">
        <v>10</v>
      </c>
      <c r="E118" s="148" t="s">
        <v>393</v>
      </c>
      <c r="F118" s="483" t="s">
        <v>393</v>
      </c>
      <c r="G118" s="78"/>
      <c r="H118" s="675"/>
      <c r="I118" s="78">
        <v>9933</v>
      </c>
      <c r="J118" s="688">
        <v>10693</v>
      </c>
      <c r="K118" s="78">
        <v>3613</v>
      </c>
      <c r="L118" s="688">
        <v>4325</v>
      </c>
      <c r="M118" s="78">
        <v>10982</v>
      </c>
      <c r="N118" s="688">
        <v>13105</v>
      </c>
      <c r="O118" s="256">
        <f t="shared" si="47"/>
        <v>24528</v>
      </c>
      <c r="P118" s="89">
        <f t="shared" si="48"/>
        <v>817.6</v>
      </c>
      <c r="Q118" s="257">
        <f t="shared" si="49"/>
        <v>28123</v>
      </c>
      <c r="R118" s="79">
        <f t="shared" si="32"/>
        <v>937.43333333333328</v>
      </c>
      <c r="S118" s="674">
        <v>2702</v>
      </c>
      <c r="T118" s="687">
        <v>3168</v>
      </c>
      <c r="U118" s="256">
        <f t="shared" si="50"/>
        <v>24528</v>
      </c>
      <c r="V118" s="434">
        <f t="shared" si="51"/>
        <v>28123</v>
      </c>
      <c r="W118" s="78"/>
      <c r="X118" s="675"/>
      <c r="Y118" s="679">
        <v>18522</v>
      </c>
      <c r="Z118" s="678">
        <v>32560</v>
      </c>
      <c r="AA118" s="679">
        <v>8988</v>
      </c>
      <c r="AB118" s="678">
        <v>9214</v>
      </c>
      <c r="AC118" s="679">
        <v>24487</v>
      </c>
      <c r="AD118" s="678">
        <v>21882</v>
      </c>
      <c r="AE118" s="256">
        <f t="shared" si="52"/>
        <v>51997</v>
      </c>
      <c r="AF118" s="89">
        <f t="shared" si="36"/>
        <v>57.774444444444441</v>
      </c>
      <c r="AG118" s="257">
        <f t="shared" si="53"/>
        <v>63656</v>
      </c>
      <c r="AH118" s="79">
        <f t="shared" si="38"/>
        <v>70.728888888888889</v>
      </c>
      <c r="AI118" s="679">
        <v>0</v>
      </c>
      <c r="AJ118" s="678">
        <v>0</v>
      </c>
      <c r="AK118" s="256">
        <f t="shared" si="54"/>
        <v>51997</v>
      </c>
      <c r="AL118" s="434">
        <f t="shared" si="55"/>
        <v>63656</v>
      </c>
      <c r="AM118" s="78"/>
      <c r="AN118" s="675"/>
      <c r="AO118" s="78"/>
      <c r="AP118" s="675"/>
      <c r="AQ118" s="78"/>
      <c r="AR118" s="675"/>
      <c r="AS118" s="78"/>
      <c r="AT118" s="675"/>
      <c r="AU118" s="258">
        <f t="shared" si="41"/>
        <v>0</v>
      </c>
      <c r="AV118" s="89">
        <f t="shared" si="42"/>
        <v>0</v>
      </c>
      <c r="AW118" s="257">
        <f t="shared" si="43"/>
        <v>0</v>
      </c>
      <c r="AX118" s="79">
        <f t="shared" si="44"/>
        <v>0</v>
      </c>
      <c r="AY118" s="259">
        <f t="shared" si="56"/>
        <v>875.37444444444441</v>
      </c>
      <c r="AZ118" s="79">
        <f t="shared" si="57"/>
        <v>1008.1622222222222</v>
      </c>
      <c r="BA118" s="680"/>
    </row>
    <row r="119" spans="1:53">
      <c r="A119" s="280" t="s">
        <v>647</v>
      </c>
      <c r="B119" s="478" t="s">
        <v>136</v>
      </c>
      <c r="C119" s="280">
        <v>136145</v>
      </c>
      <c r="D119" s="268">
        <v>10</v>
      </c>
      <c r="E119" s="148" t="s">
        <v>393</v>
      </c>
      <c r="F119" s="483" t="s">
        <v>393</v>
      </c>
      <c r="G119" s="78"/>
      <c r="H119" s="675"/>
      <c r="I119" s="78">
        <v>9577</v>
      </c>
      <c r="J119" s="688">
        <v>8619</v>
      </c>
      <c r="K119" s="78">
        <v>2664</v>
      </c>
      <c r="L119" s="688">
        <v>3194</v>
      </c>
      <c r="M119" s="78">
        <v>9725</v>
      </c>
      <c r="N119" s="688">
        <v>10612</v>
      </c>
      <c r="O119" s="256">
        <f t="shared" si="47"/>
        <v>21966</v>
      </c>
      <c r="P119" s="89">
        <f t="shared" si="48"/>
        <v>732.2</v>
      </c>
      <c r="Q119" s="257">
        <f t="shared" si="49"/>
        <v>22425</v>
      </c>
      <c r="R119" s="79">
        <f t="shared" si="32"/>
        <v>747.5</v>
      </c>
      <c r="S119" s="674">
        <v>3131</v>
      </c>
      <c r="T119" s="687">
        <v>3232</v>
      </c>
      <c r="U119" s="256">
        <f t="shared" si="50"/>
        <v>21966</v>
      </c>
      <c r="V119" s="434">
        <f t="shared" si="51"/>
        <v>22425</v>
      </c>
      <c r="W119" s="78"/>
      <c r="X119" s="675"/>
      <c r="Y119" s="679">
        <v>54381</v>
      </c>
      <c r="Z119" s="678">
        <v>53618</v>
      </c>
      <c r="AA119" s="679">
        <v>24601</v>
      </c>
      <c r="AB119" s="678">
        <v>16458</v>
      </c>
      <c r="AC119" s="679">
        <v>75293</v>
      </c>
      <c r="AD119" s="678">
        <v>62593</v>
      </c>
      <c r="AE119" s="256">
        <f t="shared" si="52"/>
        <v>154275</v>
      </c>
      <c r="AF119" s="89">
        <f t="shared" si="36"/>
        <v>171.41666666666666</v>
      </c>
      <c r="AG119" s="257">
        <f t="shared" si="53"/>
        <v>132669</v>
      </c>
      <c r="AH119" s="79">
        <f t="shared" si="38"/>
        <v>147.41</v>
      </c>
      <c r="AI119" s="679">
        <v>180</v>
      </c>
      <c r="AJ119" s="685">
        <v>0</v>
      </c>
      <c r="AK119" s="256">
        <f t="shared" si="54"/>
        <v>154275</v>
      </c>
      <c r="AL119" s="434">
        <f t="shared" si="55"/>
        <v>132669</v>
      </c>
      <c r="AM119" s="78"/>
      <c r="AN119" s="675"/>
      <c r="AO119" s="78"/>
      <c r="AP119" s="675"/>
      <c r="AQ119" s="78"/>
      <c r="AR119" s="675"/>
      <c r="AS119" s="78"/>
      <c r="AT119" s="675"/>
      <c r="AU119" s="258">
        <f t="shared" si="41"/>
        <v>0</v>
      </c>
      <c r="AV119" s="89">
        <f t="shared" si="42"/>
        <v>0</v>
      </c>
      <c r="AW119" s="257">
        <f t="shared" si="43"/>
        <v>0</v>
      </c>
      <c r="AX119" s="79">
        <f t="shared" si="44"/>
        <v>0</v>
      </c>
      <c r="AY119" s="259">
        <f t="shared" si="56"/>
        <v>903.61666666666667</v>
      </c>
      <c r="AZ119" s="79">
        <f t="shared" si="57"/>
        <v>894.91</v>
      </c>
      <c r="BA119" s="680"/>
    </row>
    <row r="120" spans="1:53">
      <c r="A120" s="484" t="s">
        <v>503</v>
      </c>
      <c r="B120" s="281" t="s">
        <v>606</v>
      </c>
      <c r="C120" s="484">
        <v>139940</v>
      </c>
      <c r="D120" s="271">
        <v>1</v>
      </c>
      <c r="E120" s="148" t="s">
        <v>393</v>
      </c>
      <c r="F120" s="483" t="s">
        <v>393</v>
      </c>
      <c r="G120" s="78"/>
      <c r="H120" s="675"/>
      <c r="I120" s="78">
        <v>238791</v>
      </c>
      <c r="J120" s="688">
        <f>139591+112277</f>
        <v>251868</v>
      </c>
      <c r="K120" s="78">
        <v>70525</v>
      </c>
      <c r="L120" s="688">
        <f>37152+38669</f>
        <v>75821</v>
      </c>
      <c r="M120" s="78">
        <v>258599.5</v>
      </c>
      <c r="N120" s="688">
        <f>162766+117114</f>
        <v>279880</v>
      </c>
      <c r="O120" s="256">
        <f t="shared" si="47"/>
        <v>567915.5</v>
      </c>
      <c r="P120" s="89">
        <f t="shared" si="48"/>
        <v>18930.516666666666</v>
      </c>
      <c r="Q120" s="257">
        <f t="shared" si="49"/>
        <v>607569</v>
      </c>
      <c r="R120" s="79">
        <f t="shared" si="32"/>
        <v>20252.3</v>
      </c>
      <c r="S120" s="674">
        <v>1895</v>
      </c>
      <c r="T120" s="673">
        <v>2205.5</v>
      </c>
      <c r="U120" s="256">
        <f t="shared" si="50"/>
        <v>567915.5</v>
      </c>
      <c r="V120" s="434">
        <f t="shared" si="51"/>
        <v>607569</v>
      </c>
      <c r="W120" s="78"/>
      <c r="X120" s="675"/>
      <c r="Y120" s="78"/>
      <c r="Z120" s="675"/>
      <c r="AA120" s="78"/>
      <c r="AB120" s="675"/>
      <c r="AC120" s="78"/>
      <c r="AD120" s="675"/>
      <c r="AE120" s="256">
        <f t="shared" si="52"/>
        <v>0</v>
      </c>
      <c r="AF120" s="89">
        <f t="shared" si="36"/>
        <v>0</v>
      </c>
      <c r="AG120" s="257">
        <f t="shared" si="53"/>
        <v>0</v>
      </c>
      <c r="AH120" s="79">
        <f t="shared" si="38"/>
        <v>0</v>
      </c>
      <c r="AI120" s="78"/>
      <c r="AJ120" s="675"/>
      <c r="AK120" s="256">
        <f t="shared" si="54"/>
        <v>0</v>
      </c>
      <c r="AL120" s="434">
        <f t="shared" si="55"/>
        <v>0</v>
      </c>
      <c r="AM120" s="78"/>
      <c r="AN120" s="675"/>
      <c r="AO120" s="78">
        <v>73973.5</v>
      </c>
      <c r="AP120" s="678">
        <v>78008</v>
      </c>
      <c r="AQ120" s="78">
        <v>45385</v>
      </c>
      <c r="AR120" s="678">
        <v>48463</v>
      </c>
      <c r="AS120" s="78">
        <v>80625.5</v>
      </c>
      <c r="AT120" s="678">
        <v>88194</v>
      </c>
      <c r="AU120" s="258">
        <f t="shared" si="41"/>
        <v>199984</v>
      </c>
      <c r="AV120" s="89">
        <f t="shared" si="42"/>
        <v>8332.6666666666661</v>
      </c>
      <c r="AW120" s="257">
        <f>SUM(AN120,AP120,AR122,AT120)</f>
        <v>208291</v>
      </c>
      <c r="AX120" s="79">
        <f t="shared" si="44"/>
        <v>8678.7916666666661</v>
      </c>
      <c r="AY120" s="259">
        <f t="shared" si="56"/>
        <v>27263.183333333334</v>
      </c>
      <c r="AZ120" s="79">
        <f t="shared" si="57"/>
        <v>28931.091666666667</v>
      </c>
      <c r="BA120" s="680"/>
    </row>
    <row r="121" spans="1:53">
      <c r="A121" s="484" t="s">
        <v>503</v>
      </c>
      <c r="B121" s="281" t="s">
        <v>607</v>
      </c>
      <c r="C121" s="484">
        <v>139959</v>
      </c>
      <c r="D121" s="271">
        <v>1</v>
      </c>
      <c r="E121" s="148" t="s">
        <v>393</v>
      </c>
      <c r="F121" s="483" t="s">
        <v>393</v>
      </c>
      <c r="G121" s="78"/>
      <c r="H121" s="675"/>
      <c r="I121" s="78">
        <v>324391.5</v>
      </c>
      <c r="J121" s="688">
        <f>174535+158067</f>
        <v>332602</v>
      </c>
      <c r="K121" s="78">
        <v>60782</v>
      </c>
      <c r="L121" s="688">
        <f>26304+34239</f>
        <v>60543</v>
      </c>
      <c r="M121" s="78">
        <v>344966.8</v>
      </c>
      <c r="N121" s="688">
        <f>200203+154860</f>
        <v>355063</v>
      </c>
      <c r="O121" s="256">
        <f t="shared" si="47"/>
        <v>730140.3</v>
      </c>
      <c r="P121" s="89">
        <f t="shared" si="48"/>
        <v>24338.010000000002</v>
      </c>
      <c r="Q121" s="257">
        <f t="shared" si="49"/>
        <v>748208</v>
      </c>
      <c r="R121" s="79">
        <f t="shared" si="32"/>
        <v>24940.266666666666</v>
      </c>
      <c r="S121" s="674">
        <v>239</v>
      </c>
      <c r="T121" s="673">
        <v>116</v>
      </c>
      <c r="U121" s="256">
        <f t="shared" si="50"/>
        <v>730140.3</v>
      </c>
      <c r="V121" s="434">
        <f t="shared" si="51"/>
        <v>748208</v>
      </c>
      <c r="W121" s="78"/>
      <c r="X121" s="675"/>
      <c r="Y121" s="78"/>
      <c r="Z121" s="675"/>
      <c r="AA121" s="78"/>
      <c r="AB121" s="675"/>
      <c r="AC121" s="78"/>
      <c r="AD121" s="675"/>
      <c r="AE121" s="256">
        <f t="shared" si="52"/>
        <v>0</v>
      </c>
      <c r="AF121" s="89">
        <f t="shared" si="36"/>
        <v>0</v>
      </c>
      <c r="AG121" s="257">
        <f t="shared" si="53"/>
        <v>0</v>
      </c>
      <c r="AH121" s="79">
        <f t="shared" si="38"/>
        <v>0</v>
      </c>
      <c r="AI121" s="78"/>
      <c r="AJ121" s="675"/>
      <c r="AK121" s="256">
        <f t="shared" si="54"/>
        <v>0</v>
      </c>
      <c r="AL121" s="434">
        <f t="shared" si="55"/>
        <v>0</v>
      </c>
      <c r="AM121" s="78"/>
      <c r="AN121" s="675"/>
      <c r="AO121" s="78">
        <v>91334.1</v>
      </c>
      <c r="AP121" s="678">
        <v>93835</v>
      </c>
      <c r="AQ121" s="78">
        <v>39373.599999999999</v>
      </c>
      <c r="AR121" s="678">
        <v>40128</v>
      </c>
      <c r="AS121" s="78">
        <v>96843.199999999997</v>
      </c>
      <c r="AT121" s="678">
        <v>99666</v>
      </c>
      <c r="AU121" s="258">
        <f t="shared" si="41"/>
        <v>227550.90000000002</v>
      </c>
      <c r="AV121" s="89">
        <f t="shared" si="42"/>
        <v>9481.2875000000004</v>
      </c>
      <c r="AW121" s="257">
        <f t="shared" ref="AW121:AW151" si="58">SUM(AN121,AP121,AR121,AT121)</f>
        <v>233629</v>
      </c>
      <c r="AX121" s="79">
        <f t="shared" si="44"/>
        <v>9734.5416666666661</v>
      </c>
      <c r="AY121" s="259">
        <f t="shared" si="56"/>
        <v>33819.297500000001</v>
      </c>
      <c r="AZ121" s="79">
        <f t="shared" si="57"/>
        <v>34674.808333333334</v>
      </c>
      <c r="BA121" s="680"/>
    </row>
    <row r="122" spans="1:53">
      <c r="A122" s="484" t="s">
        <v>503</v>
      </c>
      <c r="B122" s="281" t="s">
        <v>608</v>
      </c>
      <c r="C122" s="484">
        <v>139755</v>
      </c>
      <c r="D122" s="271">
        <v>2</v>
      </c>
      <c r="E122" s="148" t="s">
        <v>393</v>
      </c>
      <c r="F122" s="483" t="s">
        <v>393</v>
      </c>
      <c r="G122" s="78"/>
      <c r="H122" s="675"/>
      <c r="I122" s="78">
        <v>164290</v>
      </c>
      <c r="J122" s="688">
        <f>92934+75135</f>
        <v>168069</v>
      </c>
      <c r="K122" s="78">
        <v>39122</v>
      </c>
      <c r="L122" s="688">
        <f>22095+21225</f>
        <v>43320</v>
      </c>
      <c r="M122" s="78">
        <v>180806</v>
      </c>
      <c r="N122" s="688">
        <f>107474+79100</f>
        <v>186574</v>
      </c>
      <c r="O122" s="256">
        <f t="shared" si="47"/>
        <v>384218</v>
      </c>
      <c r="P122" s="89">
        <f t="shared" si="48"/>
        <v>12807.266666666666</v>
      </c>
      <c r="Q122" s="257">
        <f t="shared" si="49"/>
        <v>397963</v>
      </c>
      <c r="R122" s="79">
        <f t="shared" si="32"/>
        <v>13265.433333333332</v>
      </c>
      <c r="S122" s="674">
        <v>1173</v>
      </c>
      <c r="T122" s="673">
        <v>1817</v>
      </c>
      <c r="U122" s="256">
        <f t="shared" si="50"/>
        <v>384218</v>
      </c>
      <c r="V122" s="434">
        <f t="shared" si="51"/>
        <v>397963</v>
      </c>
      <c r="W122" s="78"/>
      <c r="X122" s="675"/>
      <c r="Y122" s="78"/>
      <c r="Z122" s="675"/>
      <c r="AA122" s="78"/>
      <c r="AB122" s="675"/>
      <c r="AC122" s="78"/>
      <c r="AD122" s="675"/>
      <c r="AE122" s="256">
        <f t="shared" si="52"/>
        <v>0</v>
      </c>
      <c r="AF122" s="89">
        <f t="shared" si="36"/>
        <v>0</v>
      </c>
      <c r="AG122" s="257">
        <f t="shared" si="53"/>
        <v>0</v>
      </c>
      <c r="AH122" s="79">
        <f t="shared" si="38"/>
        <v>0</v>
      </c>
      <c r="AI122" s="78"/>
      <c r="AJ122" s="675"/>
      <c r="AK122" s="256">
        <f t="shared" si="54"/>
        <v>0</v>
      </c>
      <c r="AL122" s="434">
        <f t="shared" si="55"/>
        <v>0</v>
      </c>
      <c r="AM122" s="78"/>
      <c r="AN122" s="675"/>
      <c r="AO122" s="78">
        <v>84295</v>
      </c>
      <c r="AP122" s="678">
        <v>86356</v>
      </c>
      <c r="AQ122" s="78">
        <v>41288</v>
      </c>
      <c r="AR122" s="678">
        <v>42089</v>
      </c>
      <c r="AS122" s="78">
        <v>92342</v>
      </c>
      <c r="AT122" s="678">
        <v>96797</v>
      </c>
      <c r="AU122" s="258">
        <f t="shared" si="41"/>
        <v>217925</v>
      </c>
      <c r="AV122" s="89">
        <f t="shared" si="42"/>
        <v>9080.2083333333339</v>
      </c>
      <c r="AW122" s="257">
        <f t="shared" si="58"/>
        <v>225242</v>
      </c>
      <c r="AX122" s="79">
        <f t="shared" si="44"/>
        <v>9385.0833333333339</v>
      </c>
      <c r="AY122" s="259">
        <f t="shared" si="56"/>
        <v>21887.474999999999</v>
      </c>
      <c r="AZ122" s="79">
        <f t="shared" si="57"/>
        <v>22650.516666666666</v>
      </c>
      <c r="BA122" s="680"/>
    </row>
    <row r="123" spans="1:53">
      <c r="A123" s="484" t="s">
        <v>503</v>
      </c>
      <c r="B123" s="281" t="s">
        <v>609</v>
      </c>
      <c r="C123" s="484">
        <v>139931</v>
      </c>
      <c r="D123" s="271">
        <v>3</v>
      </c>
      <c r="E123" s="148" t="s">
        <v>393</v>
      </c>
      <c r="F123" s="483" t="s">
        <v>393</v>
      </c>
      <c r="G123" s="78"/>
      <c r="H123" s="675"/>
      <c r="I123" s="78">
        <v>186324</v>
      </c>
      <c r="J123" s="688">
        <f>122867+69043</f>
        <v>191910</v>
      </c>
      <c r="K123" s="78">
        <v>50377</v>
      </c>
      <c r="L123" s="688">
        <f>34688+22502</f>
        <v>57190</v>
      </c>
      <c r="M123" s="78">
        <v>209026</v>
      </c>
      <c r="N123" s="688">
        <f>152588+70697</f>
        <v>223285</v>
      </c>
      <c r="O123" s="256">
        <f t="shared" si="47"/>
        <v>445727</v>
      </c>
      <c r="P123" s="89">
        <f t="shared" si="48"/>
        <v>14857.566666666668</v>
      </c>
      <c r="Q123" s="257">
        <f t="shared" si="49"/>
        <v>472385</v>
      </c>
      <c r="R123" s="79">
        <f t="shared" si="32"/>
        <v>15746.166666666666</v>
      </c>
      <c r="S123" s="674">
        <v>1688</v>
      </c>
      <c r="T123" s="689">
        <v>1685</v>
      </c>
      <c r="U123" s="256">
        <f t="shared" si="50"/>
        <v>445727</v>
      </c>
      <c r="V123" s="434">
        <f t="shared" si="51"/>
        <v>472385</v>
      </c>
      <c r="W123" s="78"/>
      <c r="X123" s="675"/>
      <c r="Y123" s="78"/>
      <c r="Z123" s="675"/>
      <c r="AA123" s="78"/>
      <c r="AB123" s="675"/>
      <c r="AC123" s="78"/>
      <c r="AD123" s="675"/>
      <c r="AE123" s="256">
        <f t="shared" si="52"/>
        <v>0</v>
      </c>
      <c r="AF123" s="89">
        <f t="shared" si="36"/>
        <v>0</v>
      </c>
      <c r="AG123" s="257">
        <f t="shared" si="53"/>
        <v>0</v>
      </c>
      <c r="AH123" s="79">
        <f t="shared" si="38"/>
        <v>0</v>
      </c>
      <c r="AI123" s="78"/>
      <c r="AJ123" s="675"/>
      <c r="AK123" s="256">
        <f t="shared" si="54"/>
        <v>0</v>
      </c>
      <c r="AL123" s="434">
        <f t="shared" si="55"/>
        <v>0</v>
      </c>
      <c r="AM123" s="78"/>
      <c r="AN123" s="675"/>
      <c r="AO123" s="78">
        <v>12244</v>
      </c>
      <c r="AP123" s="678">
        <v>14991</v>
      </c>
      <c r="AQ123" s="78">
        <v>9026</v>
      </c>
      <c r="AR123" s="678">
        <v>10718</v>
      </c>
      <c r="AS123" s="78">
        <v>14391</v>
      </c>
      <c r="AT123" s="678">
        <v>17220</v>
      </c>
      <c r="AU123" s="258">
        <f t="shared" si="41"/>
        <v>35661</v>
      </c>
      <c r="AV123" s="89">
        <f t="shared" si="42"/>
        <v>1485.875</v>
      </c>
      <c r="AW123" s="257">
        <f t="shared" si="58"/>
        <v>42929</v>
      </c>
      <c r="AX123" s="79">
        <f t="shared" si="44"/>
        <v>1788.7083333333333</v>
      </c>
      <c r="AY123" s="259">
        <f t="shared" si="56"/>
        <v>16343.441666666668</v>
      </c>
      <c r="AZ123" s="79">
        <f t="shared" si="57"/>
        <v>17534.875</v>
      </c>
      <c r="BA123" s="680"/>
    </row>
    <row r="124" spans="1:53">
      <c r="A124" s="484" t="s">
        <v>503</v>
      </c>
      <c r="B124" s="281" t="s">
        <v>610</v>
      </c>
      <c r="C124" s="484">
        <v>141334</v>
      </c>
      <c r="D124" s="271">
        <v>3</v>
      </c>
      <c r="E124" s="148" t="s">
        <v>393</v>
      </c>
      <c r="F124" s="483" t="s">
        <v>393</v>
      </c>
      <c r="G124" s="78"/>
      <c r="H124" s="675"/>
      <c r="I124" s="78">
        <v>107395</v>
      </c>
      <c r="J124" s="688">
        <f>73212+39421</f>
        <v>112633</v>
      </c>
      <c r="K124" s="78">
        <v>28968</v>
      </c>
      <c r="L124" s="688">
        <f>1603+14392</f>
        <v>15995</v>
      </c>
      <c r="M124" s="78">
        <v>120212</v>
      </c>
      <c r="N124" s="688">
        <f>85063+40604</f>
        <v>125667</v>
      </c>
      <c r="O124" s="256">
        <f t="shared" si="47"/>
        <v>256575</v>
      </c>
      <c r="P124" s="89">
        <f t="shared" si="48"/>
        <v>8552.5</v>
      </c>
      <c r="Q124" s="257">
        <f t="shared" si="49"/>
        <v>254295</v>
      </c>
      <c r="R124" s="79">
        <f t="shared" si="32"/>
        <v>8476.5</v>
      </c>
      <c r="S124" s="674">
        <v>3024</v>
      </c>
      <c r="T124" s="689">
        <v>2794</v>
      </c>
      <c r="U124" s="256">
        <f t="shared" si="50"/>
        <v>256575</v>
      </c>
      <c r="V124" s="434">
        <f t="shared" si="51"/>
        <v>254295</v>
      </c>
      <c r="W124" s="78"/>
      <c r="X124" s="675"/>
      <c r="Y124" s="78"/>
      <c r="Z124" s="675"/>
      <c r="AA124" s="78"/>
      <c r="AB124" s="675"/>
      <c r="AC124" s="78"/>
      <c r="AD124" s="675"/>
      <c r="AE124" s="256">
        <f t="shared" si="52"/>
        <v>0</v>
      </c>
      <c r="AF124" s="89">
        <f t="shared" si="36"/>
        <v>0</v>
      </c>
      <c r="AG124" s="257">
        <f t="shared" si="53"/>
        <v>0</v>
      </c>
      <c r="AH124" s="79">
        <f t="shared" si="38"/>
        <v>0</v>
      </c>
      <c r="AI124" s="78"/>
      <c r="AJ124" s="675"/>
      <c r="AK124" s="256">
        <f t="shared" si="54"/>
        <v>0</v>
      </c>
      <c r="AL124" s="434">
        <f t="shared" si="55"/>
        <v>0</v>
      </c>
      <c r="AM124" s="78"/>
      <c r="AN124" s="675"/>
      <c r="AO124" s="78">
        <v>10592</v>
      </c>
      <c r="AP124" s="678">
        <v>10368</v>
      </c>
      <c r="AQ124" s="78">
        <v>9941</v>
      </c>
      <c r="AR124" s="678">
        <v>8800</v>
      </c>
      <c r="AS124" s="78">
        <v>11078</v>
      </c>
      <c r="AT124" s="678">
        <v>13448</v>
      </c>
      <c r="AU124" s="258">
        <f t="shared" si="41"/>
        <v>31611</v>
      </c>
      <c r="AV124" s="89">
        <f t="shared" si="42"/>
        <v>1317.125</v>
      </c>
      <c r="AW124" s="257">
        <f t="shared" si="58"/>
        <v>32616</v>
      </c>
      <c r="AX124" s="79">
        <f t="shared" si="44"/>
        <v>1359</v>
      </c>
      <c r="AY124" s="259">
        <f t="shared" si="56"/>
        <v>9869.625</v>
      </c>
      <c r="AZ124" s="79">
        <f t="shared" si="57"/>
        <v>9835.5</v>
      </c>
      <c r="BA124" s="680"/>
    </row>
    <row r="125" spans="1:53">
      <c r="A125" s="484" t="s">
        <v>503</v>
      </c>
      <c r="B125" s="281" t="s">
        <v>611</v>
      </c>
      <c r="C125" s="484">
        <v>141264</v>
      </c>
      <c r="D125" s="271">
        <v>3</v>
      </c>
      <c r="E125" s="148" t="s">
        <v>393</v>
      </c>
      <c r="F125" s="483" t="s">
        <v>393</v>
      </c>
      <c r="G125" s="78"/>
      <c r="H125" s="675"/>
      <c r="I125" s="78">
        <v>118862</v>
      </c>
      <c r="J125" s="688">
        <f>76520+46654</f>
        <v>123174</v>
      </c>
      <c r="K125" s="78">
        <v>24646</v>
      </c>
      <c r="L125" s="688">
        <f>13262+11071</f>
        <v>24333</v>
      </c>
      <c r="M125" s="78">
        <v>128774</v>
      </c>
      <c r="N125" s="688">
        <f>93109+45082</f>
        <v>138191</v>
      </c>
      <c r="O125" s="256">
        <f t="shared" si="47"/>
        <v>272282</v>
      </c>
      <c r="P125" s="89">
        <f t="shared" si="48"/>
        <v>9076.0666666666675</v>
      </c>
      <c r="Q125" s="257">
        <f t="shared" si="49"/>
        <v>285698</v>
      </c>
      <c r="R125" s="79">
        <f t="shared" si="32"/>
        <v>9523.2666666666664</v>
      </c>
      <c r="S125" s="674">
        <v>372</v>
      </c>
      <c r="T125" s="673">
        <v>268</v>
      </c>
      <c r="U125" s="256">
        <f t="shared" si="50"/>
        <v>272282</v>
      </c>
      <c r="V125" s="434">
        <f t="shared" si="51"/>
        <v>285698</v>
      </c>
      <c r="W125" s="78"/>
      <c r="X125" s="675"/>
      <c r="Y125" s="78"/>
      <c r="Z125" s="675"/>
      <c r="AA125" s="78"/>
      <c r="AB125" s="675"/>
      <c r="AC125" s="78"/>
      <c r="AD125" s="675"/>
      <c r="AE125" s="256">
        <f t="shared" si="52"/>
        <v>0</v>
      </c>
      <c r="AF125" s="89">
        <f t="shared" si="36"/>
        <v>0</v>
      </c>
      <c r="AG125" s="257">
        <f t="shared" si="53"/>
        <v>0</v>
      </c>
      <c r="AH125" s="79">
        <f t="shared" si="38"/>
        <v>0</v>
      </c>
      <c r="AI125" s="78"/>
      <c r="AJ125" s="675"/>
      <c r="AK125" s="256">
        <f t="shared" si="54"/>
        <v>0</v>
      </c>
      <c r="AL125" s="434">
        <f t="shared" si="55"/>
        <v>0</v>
      </c>
      <c r="AM125" s="78"/>
      <c r="AN125" s="675"/>
      <c r="AO125" s="78">
        <v>10775</v>
      </c>
      <c r="AP125" s="678">
        <v>11991</v>
      </c>
      <c r="AQ125" s="78">
        <v>8342</v>
      </c>
      <c r="AR125" s="678">
        <v>9208</v>
      </c>
      <c r="AS125" s="78">
        <v>11628</v>
      </c>
      <c r="AT125" s="678">
        <v>10531</v>
      </c>
      <c r="AU125" s="258">
        <f t="shared" si="41"/>
        <v>30745</v>
      </c>
      <c r="AV125" s="89">
        <f t="shared" si="42"/>
        <v>1281.0416666666667</v>
      </c>
      <c r="AW125" s="257">
        <f t="shared" si="58"/>
        <v>31730</v>
      </c>
      <c r="AX125" s="79">
        <f t="shared" si="44"/>
        <v>1322.0833333333333</v>
      </c>
      <c r="AY125" s="259">
        <f t="shared" si="56"/>
        <v>10357.108333333334</v>
      </c>
      <c r="AZ125" s="79">
        <f t="shared" si="57"/>
        <v>10845.35</v>
      </c>
      <c r="BA125" s="680"/>
    </row>
    <row r="126" spans="1:53">
      <c r="A126" s="484" t="s">
        <v>503</v>
      </c>
      <c r="B126" s="281" t="s">
        <v>612</v>
      </c>
      <c r="C126" s="484">
        <v>138716</v>
      </c>
      <c r="D126" s="271">
        <v>4</v>
      </c>
      <c r="E126" s="148" t="s">
        <v>393</v>
      </c>
      <c r="F126" s="483" t="s">
        <v>393</v>
      </c>
      <c r="G126" s="78"/>
      <c r="H126" s="675"/>
      <c r="I126" s="78">
        <v>45830</v>
      </c>
      <c r="J126" s="688">
        <f>32297+14873</f>
        <v>47170</v>
      </c>
      <c r="K126" s="78">
        <v>11966</v>
      </c>
      <c r="L126" s="688">
        <f>9004+4717</f>
        <v>13721</v>
      </c>
      <c r="M126" s="78">
        <v>49176</v>
      </c>
      <c r="N126" s="688">
        <f>37944+14626</f>
        <v>52570</v>
      </c>
      <c r="O126" s="256">
        <f t="shared" si="47"/>
        <v>106972</v>
      </c>
      <c r="P126" s="89">
        <f t="shared" si="48"/>
        <v>3565.7333333333331</v>
      </c>
      <c r="Q126" s="257">
        <f t="shared" si="49"/>
        <v>113461</v>
      </c>
      <c r="R126" s="79">
        <f t="shared" si="32"/>
        <v>3782.0333333333333</v>
      </c>
      <c r="S126" s="674">
        <v>27</v>
      </c>
      <c r="T126" s="673">
        <v>49</v>
      </c>
      <c r="U126" s="256">
        <f t="shared" si="50"/>
        <v>106972</v>
      </c>
      <c r="V126" s="434">
        <f t="shared" si="51"/>
        <v>113461</v>
      </c>
      <c r="W126" s="78"/>
      <c r="X126" s="675"/>
      <c r="Y126" s="78"/>
      <c r="Z126" s="675"/>
      <c r="AA126" s="78"/>
      <c r="AB126" s="675"/>
      <c r="AC126" s="78"/>
      <c r="AD126" s="675"/>
      <c r="AE126" s="256">
        <f t="shared" si="52"/>
        <v>0</v>
      </c>
      <c r="AF126" s="89">
        <f t="shared" si="36"/>
        <v>0</v>
      </c>
      <c r="AG126" s="257">
        <f t="shared" si="53"/>
        <v>0</v>
      </c>
      <c r="AH126" s="79">
        <f t="shared" si="38"/>
        <v>0</v>
      </c>
      <c r="AI126" s="78"/>
      <c r="AJ126" s="675"/>
      <c r="AK126" s="256">
        <f t="shared" si="54"/>
        <v>0</v>
      </c>
      <c r="AL126" s="434">
        <f t="shared" si="55"/>
        <v>0</v>
      </c>
      <c r="AM126" s="78"/>
      <c r="AN126" s="675"/>
      <c r="AO126" s="78">
        <v>2559</v>
      </c>
      <c r="AP126" s="678">
        <v>2804</v>
      </c>
      <c r="AQ126" s="78">
        <v>2035</v>
      </c>
      <c r="AR126" s="678">
        <v>1908</v>
      </c>
      <c r="AS126" s="78">
        <v>2634</v>
      </c>
      <c r="AT126" s="678">
        <v>2717</v>
      </c>
      <c r="AU126" s="258">
        <f t="shared" si="41"/>
        <v>7228</v>
      </c>
      <c r="AV126" s="89">
        <f t="shared" si="42"/>
        <v>301.16666666666669</v>
      </c>
      <c r="AW126" s="257">
        <f t="shared" si="58"/>
        <v>7429</v>
      </c>
      <c r="AX126" s="79">
        <f t="shared" si="44"/>
        <v>309.54166666666669</v>
      </c>
      <c r="AY126" s="259">
        <f t="shared" si="56"/>
        <v>3866.8999999999996</v>
      </c>
      <c r="AZ126" s="79">
        <f t="shared" si="57"/>
        <v>4091.5749999999998</v>
      </c>
      <c r="BA126" s="680"/>
    </row>
    <row r="127" spans="1:53">
      <c r="A127" s="484" t="s">
        <v>503</v>
      </c>
      <c r="B127" s="281" t="s">
        <v>613</v>
      </c>
      <c r="C127" s="484">
        <v>138789</v>
      </c>
      <c r="D127" s="271">
        <v>4</v>
      </c>
      <c r="E127" s="148" t="s">
        <v>393</v>
      </c>
      <c r="F127" s="483" t="s">
        <v>393</v>
      </c>
      <c r="G127" s="78"/>
      <c r="H127" s="675"/>
      <c r="I127" s="78">
        <v>64535</v>
      </c>
      <c r="J127" s="688">
        <f>46039+23060</f>
        <v>69099</v>
      </c>
      <c r="K127" s="78">
        <v>17941</v>
      </c>
      <c r="L127" s="688">
        <f>12301+7393</f>
        <v>19694</v>
      </c>
      <c r="M127" s="78">
        <v>72293.899999999994</v>
      </c>
      <c r="N127" s="688">
        <f>54790+23454</f>
        <v>78244</v>
      </c>
      <c r="O127" s="256">
        <f t="shared" si="47"/>
        <v>154769.9</v>
      </c>
      <c r="P127" s="89">
        <f t="shared" si="48"/>
        <v>5158.9966666666669</v>
      </c>
      <c r="Q127" s="257">
        <f t="shared" si="49"/>
        <v>167037</v>
      </c>
      <c r="R127" s="79">
        <f t="shared" si="32"/>
        <v>5567.9</v>
      </c>
      <c r="S127" s="674">
        <v>874</v>
      </c>
      <c r="T127" s="689">
        <v>912</v>
      </c>
      <c r="U127" s="256">
        <f t="shared" si="50"/>
        <v>154769.9</v>
      </c>
      <c r="V127" s="434">
        <f t="shared" si="51"/>
        <v>167037</v>
      </c>
      <c r="W127" s="78"/>
      <c r="X127" s="675"/>
      <c r="Y127" s="78"/>
      <c r="Z127" s="675"/>
      <c r="AA127" s="78"/>
      <c r="AB127" s="675"/>
      <c r="AC127" s="78"/>
      <c r="AD127" s="675"/>
      <c r="AE127" s="256">
        <f t="shared" si="52"/>
        <v>0</v>
      </c>
      <c r="AF127" s="89">
        <f t="shared" si="36"/>
        <v>0</v>
      </c>
      <c r="AG127" s="257">
        <f t="shared" si="53"/>
        <v>0</v>
      </c>
      <c r="AH127" s="79">
        <f t="shared" si="38"/>
        <v>0</v>
      </c>
      <c r="AI127" s="78"/>
      <c r="AJ127" s="675"/>
      <c r="AK127" s="256">
        <f t="shared" si="54"/>
        <v>0</v>
      </c>
      <c r="AL127" s="434">
        <f t="shared" si="55"/>
        <v>0</v>
      </c>
      <c r="AM127" s="78"/>
      <c r="AN127" s="675"/>
      <c r="AO127" s="78">
        <v>4483</v>
      </c>
      <c r="AP127" s="678">
        <v>5707</v>
      </c>
      <c r="AQ127" s="78">
        <v>3651</v>
      </c>
      <c r="AR127" s="678">
        <v>3493</v>
      </c>
      <c r="AS127" s="78">
        <v>4833</v>
      </c>
      <c r="AT127" s="678">
        <v>5989</v>
      </c>
      <c r="AU127" s="258">
        <f t="shared" si="41"/>
        <v>12967</v>
      </c>
      <c r="AV127" s="89">
        <f t="shared" si="42"/>
        <v>540.29166666666663</v>
      </c>
      <c r="AW127" s="257">
        <f t="shared" si="58"/>
        <v>15189</v>
      </c>
      <c r="AX127" s="79">
        <f t="shared" si="44"/>
        <v>632.875</v>
      </c>
      <c r="AY127" s="259">
        <f t="shared" si="56"/>
        <v>5699.2883333333339</v>
      </c>
      <c r="AZ127" s="79">
        <f t="shared" si="57"/>
        <v>6200.7749999999996</v>
      </c>
      <c r="BA127" s="680"/>
    </row>
    <row r="128" spans="1:53">
      <c r="A128" s="484" t="s">
        <v>503</v>
      </c>
      <c r="B128" s="281" t="s">
        <v>614</v>
      </c>
      <c r="C128" s="484">
        <v>139366</v>
      </c>
      <c r="D128" s="271">
        <v>4</v>
      </c>
      <c r="E128" s="148" t="s">
        <v>393</v>
      </c>
      <c r="F128" s="483" t="s">
        <v>393</v>
      </c>
      <c r="G128" s="78"/>
      <c r="H128" s="675"/>
      <c r="I128" s="78">
        <v>72540</v>
      </c>
      <c r="J128" s="688">
        <f>49387+26620</f>
        <v>76007</v>
      </c>
      <c r="K128" s="78">
        <v>21280</v>
      </c>
      <c r="L128" s="688">
        <f>14401+7840</f>
        <v>22241</v>
      </c>
      <c r="M128" s="78">
        <v>80178</v>
      </c>
      <c r="N128" s="688">
        <f>55615+26809</f>
        <v>82424</v>
      </c>
      <c r="O128" s="256">
        <f t="shared" si="47"/>
        <v>173998</v>
      </c>
      <c r="P128" s="89">
        <f t="shared" si="48"/>
        <v>5799.9333333333334</v>
      </c>
      <c r="Q128" s="257">
        <f t="shared" si="49"/>
        <v>180672</v>
      </c>
      <c r="R128" s="79">
        <f t="shared" si="32"/>
        <v>6022.4</v>
      </c>
      <c r="S128" s="674">
        <v>933</v>
      </c>
      <c r="T128" s="673">
        <v>1122</v>
      </c>
      <c r="U128" s="256">
        <f t="shared" si="50"/>
        <v>173998</v>
      </c>
      <c r="V128" s="434">
        <f t="shared" si="51"/>
        <v>180672</v>
      </c>
      <c r="W128" s="78"/>
      <c r="X128" s="675"/>
      <c r="Y128" s="78"/>
      <c r="Z128" s="675"/>
      <c r="AA128" s="78"/>
      <c r="AB128" s="675"/>
      <c r="AC128" s="78"/>
      <c r="AD128" s="675"/>
      <c r="AE128" s="256">
        <f t="shared" si="52"/>
        <v>0</v>
      </c>
      <c r="AF128" s="89">
        <f t="shared" si="36"/>
        <v>0</v>
      </c>
      <c r="AG128" s="257">
        <f t="shared" si="53"/>
        <v>0</v>
      </c>
      <c r="AH128" s="79">
        <f t="shared" si="38"/>
        <v>0</v>
      </c>
      <c r="AI128" s="78"/>
      <c r="AJ128" s="675"/>
      <c r="AK128" s="256">
        <f t="shared" si="54"/>
        <v>0</v>
      </c>
      <c r="AL128" s="434">
        <f t="shared" si="55"/>
        <v>0</v>
      </c>
      <c r="AM128" s="78"/>
      <c r="AN128" s="675"/>
      <c r="AO128" s="78">
        <v>7217</v>
      </c>
      <c r="AP128" s="678">
        <v>7402</v>
      </c>
      <c r="AQ128" s="78">
        <v>4927</v>
      </c>
      <c r="AR128" s="678">
        <v>5204</v>
      </c>
      <c r="AS128" s="78">
        <v>7237</v>
      </c>
      <c r="AT128" s="678">
        <v>8122</v>
      </c>
      <c r="AU128" s="258">
        <f t="shared" si="41"/>
        <v>19381</v>
      </c>
      <c r="AV128" s="89">
        <f t="shared" si="42"/>
        <v>807.54166666666663</v>
      </c>
      <c r="AW128" s="257">
        <f t="shared" si="58"/>
        <v>20728</v>
      </c>
      <c r="AX128" s="79">
        <f t="shared" si="44"/>
        <v>863.66666666666663</v>
      </c>
      <c r="AY128" s="259">
        <f t="shared" si="56"/>
        <v>6607.4750000000004</v>
      </c>
      <c r="AZ128" s="79">
        <f t="shared" si="57"/>
        <v>6886.0666666666666</v>
      </c>
      <c r="BA128" s="680"/>
    </row>
    <row r="129" spans="1:53">
      <c r="A129" s="484" t="s">
        <v>503</v>
      </c>
      <c r="B129" s="281" t="s">
        <v>615</v>
      </c>
      <c r="C129" s="484">
        <v>139861</v>
      </c>
      <c r="D129" s="271">
        <v>4</v>
      </c>
      <c r="E129" s="148" t="s">
        <v>393</v>
      </c>
      <c r="F129" s="483" t="s">
        <v>393</v>
      </c>
      <c r="G129" s="78"/>
      <c r="H129" s="675"/>
      <c r="I129" s="78">
        <v>68831</v>
      </c>
      <c r="J129" s="688">
        <f>42366+28018</f>
        <v>70384</v>
      </c>
      <c r="K129" s="78">
        <v>13886</v>
      </c>
      <c r="L129" s="688">
        <f>8125+7412</f>
        <v>15537</v>
      </c>
      <c r="M129" s="78">
        <v>74894</v>
      </c>
      <c r="N129" s="688">
        <f>50602+26291</f>
        <v>76893</v>
      </c>
      <c r="O129" s="256">
        <f t="shared" si="47"/>
        <v>157611</v>
      </c>
      <c r="P129" s="89">
        <f t="shared" si="48"/>
        <v>5253.7</v>
      </c>
      <c r="Q129" s="257">
        <f t="shared" si="49"/>
        <v>162814</v>
      </c>
      <c r="R129" s="79">
        <f t="shared" si="32"/>
        <v>5427.1333333333332</v>
      </c>
      <c r="S129" s="674">
        <v>366</v>
      </c>
      <c r="T129" s="673">
        <v>432</v>
      </c>
      <c r="U129" s="256">
        <f t="shared" si="50"/>
        <v>157611</v>
      </c>
      <c r="V129" s="434">
        <f t="shared" si="51"/>
        <v>162814</v>
      </c>
      <c r="W129" s="78"/>
      <c r="X129" s="675"/>
      <c r="Y129" s="78"/>
      <c r="Z129" s="675"/>
      <c r="AA129" s="78"/>
      <c r="AB129" s="675"/>
      <c r="AC129" s="78"/>
      <c r="AD129" s="675"/>
      <c r="AE129" s="256">
        <f t="shared" si="52"/>
        <v>0</v>
      </c>
      <c r="AF129" s="89">
        <f t="shared" si="36"/>
        <v>0</v>
      </c>
      <c r="AG129" s="257">
        <f t="shared" si="53"/>
        <v>0</v>
      </c>
      <c r="AH129" s="79">
        <f t="shared" si="38"/>
        <v>0</v>
      </c>
      <c r="AI129" s="78"/>
      <c r="AJ129" s="675"/>
      <c r="AK129" s="256">
        <f t="shared" si="54"/>
        <v>0</v>
      </c>
      <c r="AL129" s="434">
        <f t="shared" si="55"/>
        <v>0</v>
      </c>
      <c r="AM129" s="78"/>
      <c r="AN129" s="675"/>
      <c r="AO129" s="78">
        <v>6609</v>
      </c>
      <c r="AP129" s="678">
        <v>7492</v>
      </c>
      <c r="AQ129" s="78">
        <v>5492</v>
      </c>
      <c r="AR129" s="678">
        <v>5457</v>
      </c>
      <c r="AS129" s="78">
        <v>7385</v>
      </c>
      <c r="AT129" s="678">
        <v>7218</v>
      </c>
      <c r="AU129" s="258">
        <f t="shared" si="41"/>
        <v>19486</v>
      </c>
      <c r="AV129" s="89">
        <f t="shared" si="42"/>
        <v>811.91666666666663</v>
      </c>
      <c r="AW129" s="257">
        <f t="shared" si="58"/>
        <v>20167</v>
      </c>
      <c r="AX129" s="79">
        <f t="shared" si="44"/>
        <v>840.29166666666663</v>
      </c>
      <c r="AY129" s="259">
        <f t="shared" si="56"/>
        <v>6065.6166666666668</v>
      </c>
      <c r="AZ129" s="79">
        <f t="shared" si="57"/>
        <v>6267.4250000000002</v>
      </c>
      <c r="BA129" s="680"/>
    </row>
    <row r="130" spans="1:53">
      <c r="A130" s="484" t="s">
        <v>503</v>
      </c>
      <c r="B130" s="281" t="s">
        <v>616</v>
      </c>
      <c r="C130" s="484">
        <v>140164</v>
      </c>
      <c r="D130" s="271">
        <v>4</v>
      </c>
      <c r="E130" s="148" t="s">
        <v>393</v>
      </c>
      <c r="F130" s="483" t="s">
        <v>393</v>
      </c>
      <c r="G130" s="78"/>
      <c r="H130" s="675"/>
      <c r="I130" s="78">
        <v>210012</v>
      </c>
      <c r="J130" s="688">
        <f>138935+83376</f>
        <v>222311</v>
      </c>
      <c r="K130" s="78">
        <v>64204</v>
      </c>
      <c r="L130" s="688">
        <f>38433+32609</f>
        <v>71042</v>
      </c>
      <c r="M130" s="78">
        <v>232183</v>
      </c>
      <c r="N130" s="688">
        <f>158781+88856</f>
        <v>247637</v>
      </c>
      <c r="O130" s="256">
        <f t="shared" si="47"/>
        <v>506399</v>
      </c>
      <c r="P130" s="89">
        <f t="shared" si="48"/>
        <v>16879.966666666667</v>
      </c>
      <c r="Q130" s="257">
        <f t="shared" si="49"/>
        <v>540990</v>
      </c>
      <c r="R130" s="79">
        <f t="shared" si="32"/>
        <v>18033</v>
      </c>
      <c r="S130" s="674">
        <v>1953</v>
      </c>
      <c r="T130" s="673">
        <v>2192</v>
      </c>
      <c r="U130" s="256">
        <f t="shared" si="50"/>
        <v>506399</v>
      </c>
      <c r="V130" s="434">
        <f t="shared" si="51"/>
        <v>540990</v>
      </c>
      <c r="W130" s="78"/>
      <c r="X130" s="675"/>
      <c r="Y130" s="78"/>
      <c r="Z130" s="675"/>
      <c r="AA130" s="78"/>
      <c r="AB130" s="675"/>
      <c r="AC130" s="78"/>
      <c r="AD130" s="675"/>
      <c r="AE130" s="256">
        <f t="shared" si="52"/>
        <v>0</v>
      </c>
      <c r="AF130" s="89">
        <f t="shared" si="36"/>
        <v>0</v>
      </c>
      <c r="AG130" s="257">
        <f t="shared" si="53"/>
        <v>0</v>
      </c>
      <c r="AH130" s="79">
        <f t="shared" si="38"/>
        <v>0</v>
      </c>
      <c r="AI130" s="78"/>
      <c r="AJ130" s="675"/>
      <c r="AK130" s="256">
        <f t="shared" si="54"/>
        <v>0</v>
      </c>
      <c r="AL130" s="434">
        <f t="shared" si="55"/>
        <v>0</v>
      </c>
      <c r="AM130" s="78"/>
      <c r="AN130" s="675"/>
      <c r="AO130" s="78">
        <v>15950</v>
      </c>
      <c r="AP130" s="678">
        <v>15498</v>
      </c>
      <c r="AQ130" s="78">
        <v>10241</v>
      </c>
      <c r="AR130" s="678">
        <v>9547</v>
      </c>
      <c r="AS130" s="78">
        <v>16514</v>
      </c>
      <c r="AT130" s="678">
        <v>15401</v>
      </c>
      <c r="AU130" s="258">
        <f t="shared" si="41"/>
        <v>42705</v>
      </c>
      <c r="AV130" s="89">
        <f t="shared" si="42"/>
        <v>1779.375</v>
      </c>
      <c r="AW130" s="257">
        <f t="shared" si="58"/>
        <v>40446</v>
      </c>
      <c r="AX130" s="79">
        <f t="shared" si="44"/>
        <v>1685.25</v>
      </c>
      <c r="AY130" s="259">
        <f t="shared" si="56"/>
        <v>18659.341666666667</v>
      </c>
      <c r="AZ130" s="79">
        <f t="shared" si="57"/>
        <v>19718.25</v>
      </c>
      <c r="BA130" s="680"/>
    </row>
    <row r="131" spans="1:53">
      <c r="A131" s="484" t="s">
        <v>503</v>
      </c>
      <c r="B131" s="281" t="s">
        <v>617</v>
      </c>
      <c r="C131" s="484">
        <v>138983</v>
      </c>
      <c r="D131" s="271">
        <v>5</v>
      </c>
      <c r="E131" s="148" t="s">
        <v>393</v>
      </c>
      <c r="F131" s="483" t="s">
        <v>393</v>
      </c>
      <c r="G131" s="78"/>
      <c r="H131" s="675"/>
      <c r="I131" s="78">
        <v>60974</v>
      </c>
      <c r="J131" s="688">
        <f>45233+17757</f>
        <v>62990</v>
      </c>
      <c r="K131" s="78">
        <v>16813</v>
      </c>
      <c r="L131" s="688">
        <f>13652+4731</f>
        <v>18383</v>
      </c>
      <c r="M131" s="78">
        <v>65869</v>
      </c>
      <c r="N131" s="688">
        <f>51503+18394</f>
        <v>69897</v>
      </c>
      <c r="O131" s="256">
        <f t="shared" si="47"/>
        <v>143656</v>
      </c>
      <c r="P131" s="89">
        <f t="shared" si="48"/>
        <v>4788.5333333333338</v>
      </c>
      <c r="Q131" s="257">
        <f t="shared" si="49"/>
        <v>151270</v>
      </c>
      <c r="R131" s="79">
        <f t="shared" si="32"/>
        <v>5042.333333333333</v>
      </c>
      <c r="S131" s="674">
        <v>736</v>
      </c>
      <c r="T131" s="689">
        <v>737</v>
      </c>
      <c r="U131" s="256">
        <f t="shared" si="50"/>
        <v>143656</v>
      </c>
      <c r="V131" s="434">
        <f t="shared" si="51"/>
        <v>151270</v>
      </c>
      <c r="W131" s="78"/>
      <c r="X131" s="675"/>
      <c r="Y131" s="78"/>
      <c r="Z131" s="675"/>
      <c r="AA131" s="78"/>
      <c r="AB131" s="675"/>
      <c r="AC131" s="78"/>
      <c r="AD131" s="675"/>
      <c r="AE131" s="256">
        <f t="shared" si="52"/>
        <v>0</v>
      </c>
      <c r="AF131" s="89">
        <f t="shared" si="36"/>
        <v>0</v>
      </c>
      <c r="AG131" s="257">
        <f t="shared" si="53"/>
        <v>0</v>
      </c>
      <c r="AH131" s="79">
        <f t="shared" si="38"/>
        <v>0</v>
      </c>
      <c r="AI131" s="78"/>
      <c r="AJ131" s="675"/>
      <c r="AK131" s="256">
        <f t="shared" si="54"/>
        <v>0</v>
      </c>
      <c r="AL131" s="434">
        <f t="shared" si="55"/>
        <v>0</v>
      </c>
      <c r="AM131" s="78"/>
      <c r="AN131" s="675"/>
      <c r="AO131" s="78">
        <v>5974</v>
      </c>
      <c r="AP131" s="678">
        <v>6988</v>
      </c>
      <c r="AQ131" s="78">
        <v>5910</v>
      </c>
      <c r="AR131" s="678">
        <v>5377</v>
      </c>
      <c r="AS131" s="78">
        <v>6756</v>
      </c>
      <c r="AT131" s="678">
        <v>7328</v>
      </c>
      <c r="AU131" s="258">
        <f t="shared" si="41"/>
        <v>18640</v>
      </c>
      <c r="AV131" s="89">
        <f t="shared" si="42"/>
        <v>776.66666666666663</v>
      </c>
      <c r="AW131" s="257">
        <f t="shared" si="58"/>
        <v>19693</v>
      </c>
      <c r="AX131" s="79">
        <f t="shared" si="44"/>
        <v>820.54166666666663</v>
      </c>
      <c r="AY131" s="259">
        <f t="shared" si="56"/>
        <v>5565.2000000000007</v>
      </c>
      <c r="AZ131" s="79">
        <f t="shared" si="57"/>
        <v>5862.875</v>
      </c>
      <c r="BA131" s="680"/>
    </row>
    <row r="132" spans="1:53">
      <c r="A132" s="484" t="s">
        <v>503</v>
      </c>
      <c r="B132" s="281" t="s">
        <v>618</v>
      </c>
      <c r="C132" s="484">
        <v>139719</v>
      </c>
      <c r="D132" s="271">
        <v>5</v>
      </c>
      <c r="E132" s="148" t="s">
        <v>393</v>
      </c>
      <c r="F132" s="483" t="s">
        <v>393</v>
      </c>
      <c r="G132" s="78"/>
      <c r="H132" s="675"/>
      <c r="I132" s="78">
        <v>30965</v>
      </c>
      <c r="J132" s="688">
        <f>29852+8300</f>
        <v>38152</v>
      </c>
      <c r="K132" s="78">
        <v>7242</v>
      </c>
      <c r="L132" s="688">
        <f>5365+1977</f>
        <v>7342</v>
      </c>
      <c r="M132" s="78">
        <v>40265</v>
      </c>
      <c r="N132" s="688">
        <f>36652+8162</f>
        <v>44814</v>
      </c>
      <c r="O132" s="256">
        <f t="shared" si="47"/>
        <v>78472</v>
      </c>
      <c r="P132" s="89">
        <f t="shared" si="48"/>
        <v>2615.7333333333331</v>
      </c>
      <c r="Q132" s="257">
        <f t="shared" si="49"/>
        <v>90308</v>
      </c>
      <c r="R132" s="79">
        <f t="shared" si="32"/>
        <v>3010.2666666666669</v>
      </c>
      <c r="S132" s="674">
        <v>105</v>
      </c>
      <c r="T132" s="673">
        <v>125</v>
      </c>
      <c r="U132" s="256">
        <f t="shared" si="50"/>
        <v>78472</v>
      </c>
      <c r="V132" s="434">
        <f t="shared" si="51"/>
        <v>90308</v>
      </c>
      <c r="W132" s="78"/>
      <c r="X132" s="675"/>
      <c r="Y132" s="78"/>
      <c r="Z132" s="675"/>
      <c r="AA132" s="78"/>
      <c r="AB132" s="675"/>
      <c r="AC132" s="78"/>
      <c r="AD132" s="675"/>
      <c r="AE132" s="256">
        <f t="shared" si="52"/>
        <v>0</v>
      </c>
      <c r="AF132" s="89">
        <f t="shared" si="36"/>
        <v>0</v>
      </c>
      <c r="AG132" s="257">
        <f t="shared" si="53"/>
        <v>0</v>
      </c>
      <c r="AH132" s="79">
        <f t="shared" si="38"/>
        <v>0</v>
      </c>
      <c r="AI132" s="78"/>
      <c r="AJ132" s="675"/>
      <c r="AK132" s="256">
        <f t="shared" si="54"/>
        <v>0</v>
      </c>
      <c r="AL132" s="434">
        <f t="shared" si="55"/>
        <v>0</v>
      </c>
      <c r="AM132" s="78"/>
      <c r="AN132" s="675"/>
      <c r="AO132" s="78">
        <v>748</v>
      </c>
      <c r="AP132" s="678">
        <v>1090</v>
      </c>
      <c r="AQ132" s="78">
        <v>398</v>
      </c>
      <c r="AR132" s="678">
        <v>483</v>
      </c>
      <c r="AS132" s="78">
        <v>983</v>
      </c>
      <c r="AT132" s="678">
        <v>1019</v>
      </c>
      <c r="AU132" s="258">
        <f t="shared" si="41"/>
        <v>2129</v>
      </c>
      <c r="AV132" s="89">
        <f t="shared" si="42"/>
        <v>88.708333333333329</v>
      </c>
      <c r="AW132" s="257">
        <f t="shared" si="58"/>
        <v>2592</v>
      </c>
      <c r="AX132" s="79">
        <f t="shared" si="44"/>
        <v>108</v>
      </c>
      <c r="AY132" s="259">
        <f t="shared" si="56"/>
        <v>2704.4416666666666</v>
      </c>
      <c r="AZ132" s="79">
        <f t="shared" si="57"/>
        <v>3118.2666666666669</v>
      </c>
      <c r="BA132" s="680"/>
    </row>
    <row r="133" spans="1:53">
      <c r="A133" s="484" t="s">
        <v>503</v>
      </c>
      <c r="B133" s="281" t="s">
        <v>619</v>
      </c>
      <c r="C133" s="484">
        <v>139764</v>
      </c>
      <c r="D133" s="271">
        <v>5</v>
      </c>
      <c r="E133" s="148" t="s">
        <v>393</v>
      </c>
      <c r="F133" s="483" t="s">
        <v>393</v>
      </c>
      <c r="G133" s="78"/>
      <c r="H133" s="675"/>
      <c r="I133" s="78">
        <v>25149</v>
      </c>
      <c r="J133" s="688">
        <f>16040+11400</f>
        <v>27440</v>
      </c>
      <c r="K133" s="78">
        <v>8776</v>
      </c>
      <c r="L133" s="688">
        <f>4316+4701</f>
        <v>9017</v>
      </c>
      <c r="M133" s="78">
        <v>28960</v>
      </c>
      <c r="N133" s="688">
        <f>17988+13648</f>
        <v>31636</v>
      </c>
      <c r="O133" s="256">
        <f t="shared" ref="O133:O152" si="59">SUM(G133,I133,K133,M133)</f>
        <v>62885</v>
      </c>
      <c r="P133" s="89">
        <f t="shared" ref="P133:P152" si="60">+O133/30</f>
        <v>2096.1666666666665</v>
      </c>
      <c r="Q133" s="257">
        <f t="shared" ref="Q133:Q152" si="61">SUM(H133,J133,L133,N133)</f>
        <v>68093</v>
      </c>
      <c r="R133" s="79">
        <f t="shared" ref="R133:R151" si="62">+Q133/30</f>
        <v>2269.7666666666669</v>
      </c>
      <c r="S133" s="674">
        <v>401</v>
      </c>
      <c r="T133" s="673">
        <v>487</v>
      </c>
      <c r="U133" s="256">
        <f t="shared" ref="U133:U151" si="63">IF(OR(ISBLANK(S133),(S133="—")),0,O133)</f>
        <v>62885</v>
      </c>
      <c r="V133" s="434">
        <f t="shared" ref="V133:V151" si="64">IF(OR(ISBLANK(T133),(T133="—")),0,Q133)</f>
        <v>68093</v>
      </c>
      <c r="W133" s="78"/>
      <c r="X133" s="675"/>
      <c r="Y133" s="78"/>
      <c r="Z133" s="675"/>
      <c r="AA133" s="78"/>
      <c r="AB133" s="675"/>
      <c r="AC133" s="78"/>
      <c r="AD133" s="675"/>
      <c r="AE133" s="256">
        <f t="shared" ref="AE133:AE152" si="65">SUM(W133,Y133,AA133,AC133)</f>
        <v>0</v>
      </c>
      <c r="AF133" s="89">
        <f t="shared" ref="AF133:AF151" si="66">+AE133/900</f>
        <v>0</v>
      </c>
      <c r="AG133" s="257">
        <f t="shared" ref="AG133:AG152" si="67">SUM(X133,Z133,AB133,AD133)</f>
        <v>0</v>
      </c>
      <c r="AH133" s="79">
        <f t="shared" ref="AH133:AH151" si="68">+AG133/900</f>
        <v>0</v>
      </c>
      <c r="AI133" s="78"/>
      <c r="AJ133" s="675"/>
      <c r="AK133" s="256">
        <f t="shared" ref="AK133:AK152" si="69">IF(OR(ISBLANK(AI133),(AI133="—")),0,AE133)</f>
        <v>0</v>
      </c>
      <c r="AL133" s="434">
        <f t="shared" ref="AL133:AL152" si="70">IF(OR(ISBLANK(AJ133),(AJ133="—")),0,AG133)</f>
        <v>0</v>
      </c>
      <c r="AM133" s="78"/>
      <c r="AN133" s="675"/>
      <c r="AO133" s="78">
        <v>1053</v>
      </c>
      <c r="AP133" s="678">
        <v>2436</v>
      </c>
      <c r="AQ133" s="78">
        <v>1029</v>
      </c>
      <c r="AR133" s="678">
        <v>3009</v>
      </c>
      <c r="AS133" s="78">
        <v>2418</v>
      </c>
      <c r="AT133" s="678">
        <v>2085</v>
      </c>
      <c r="AU133" s="258">
        <f t="shared" ref="AU133:AU151" si="71">SUM(AM133,AO133,AQ133,AS133)</f>
        <v>4500</v>
      </c>
      <c r="AV133" s="89">
        <f t="shared" ref="AV133:AV151" si="72">+AU133/24</f>
        <v>187.5</v>
      </c>
      <c r="AW133" s="257">
        <f t="shared" si="58"/>
        <v>7530</v>
      </c>
      <c r="AX133" s="79">
        <f t="shared" ref="AX133:AX151" si="73">+AW133/24</f>
        <v>313.75</v>
      </c>
      <c r="AY133" s="259">
        <f t="shared" ref="AY133:AY151" si="74">SUM(P133,AF133,AV133)</f>
        <v>2283.6666666666665</v>
      </c>
      <c r="AZ133" s="79">
        <f t="shared" ref="AZ133:AZ151" si="75">SUM(R133,AH133,AX133)</f>
        <v>2583.5166666666669</v>
      </c>
      <c r="BA133" s="680"/>
    </row>
    <row r="134" spans="1:53">
      <c r="A134" s="484" t="s">
        <v>503</v>
      </c>
      <c r="B134" s="281" t="s">
        <v>621</v>
      </c>
      <c r="C134" s="484">
        <v>140669</v>
      </c>
      <c r="D134" s="271">
        <v>5</v>
      </c>
      <c r="E134" s="148" t="s">
        <v>393</v>
      </c>
      <c r="F134" s="483" t="s">
        <v>393</v>
      </c>
      <c r="G134" s="78"/>
      <c r="H134" s="675"/>
      <c r="I134" s="78">
        <v>56558</v>
      </c>
      <c r="J134" s="688">
        <f>37046+22519</f>
        <v>59565</v>
      </c>
      <c r="K134" s="78">
        <v>11685</v>
      </c>
      <c r="L134" s="688">
        <f>6442+6286</f>
        <v>12728</v>
      </c>
      <c r="M134" s="78">
        <v>61500</v>
      </c>
      <c r="N134" s="688">
        <f>41628+21624</f>
        <v>63252</v>
      </c>
      <c r="O134" s="256">
        <f t="shared" si="59"/>
        <v>129743</v>
      </c>
      <c r="P134" s="89">
        <f t="shared" si="60"/>
        <v>4324.7666666666664</v>
      </c>
      <c r="Q134" s="257">
        <f t="shared" si="61"/>
        <v>135545</v>
      </c>
      <c r="R134" s="79">
        <f t="shared" si="62"/>
        <v>4518.166666666667</v>
      </c>
      <c r="S134" s="674">
        <v>189</v>
      </c>
      <c r="T134" s="673">
        <v>275</v>
      </c>
      <c r="U134" s="256">
        <f t="shared" si="63"/>
        <v>129743</v>
      </c>
      <c r="V134" s="434">
        <f t="shared" si="64"/>
        <v>135545</v>
      </c>
      <c r="W134" s="78"/>
      <c r="X134" s="675"/>
      <c r="Y134" s="78"/>
      <c r="Z134" s="675"/>
      <c r="AA134" s="78"/>
      <c r="AB134" s="675"/>
      <c r="AC134" s="78"/>
      <c r="AD134" s="675"/>
      <c r="AE134" s="256">
        <f t="shared" si="65"/>
        <v>0</v>
      </c>
      <c r="AF134" s="89">
        <f t="shared" si="66"/>
        <v>0</v>
      </c>
      <c r="AG134" s="257">
        <f t="shared" si="67"/>
        <v>0</v>
      </c>
      <c r="AH134" s="79">
        <f t="shared" si="68"/>
        <v>0</v>
      </c>
      <c r="AI134" s="78"/>
      <c r="AJ134" s="675"/>
      <c r="AK134" s="256">
        <f t="shared" si="69"/>
        <v>0</v>
      </c>
      <c r="AL134" s="434">
        <f t="shared" si="70"/>
        <v>0</v>
      </c>
      <c r="AM134" s="78"/>
      <c r="AN134" s="675"/>
      <c r="AO134" s="78">
        <v>3821</v>
      </c>
      <c r="AP134" s="678">
        <v>3066</v>
      </c>
      <c r="AQ134" s="78">
        <v>4234</v>
      </c>
      <c r="AR134" s="678">
        <v>2452</v>
      </c>
      <c r="AS134" s="78">
        <v>3847</v>
      </c>
      <c r="AT134" s="678">
        <v>3449</v>
      </c>
      <c r="AU134" s="258">
        <f t="shared" si="71"/>
        <v>11902</v>
      </c>
      <c r="AV134" s="89">
        <f t="shared" si="72"/>
        <v>495.91666666666669</v>
      </c>
      <c r="AW134" s="257">
        <f t="shared" si="58"/>
        <v>8967</v>
      </c>
      <c r="AX134" s="79">
        <f t="shared" si="73"/>
        <v>373.625</v>
      </c>
      <c r="AY134" s="259">
        <f t="shared" si="74"/>
        <v>4820.6833333333334</v>
      </c>
      <c r="AZ134" s="79">
        <f t="shared" si="75"/>
        <v>4891.791666666667</v>
      </c>
      <c r="BA134" s="680"/>
    </row>
    <row r="135" spans="1:53">
      <c r="A135" s="484" t="s">
        <v>503</v>
      </c>
      <c r="B135" s="281" t="s">
        <v>622</v>
      </c>
      <c r="C135" s="484">
        <v>140960</v>
      </c>
      <c r="D135" s="271">
        <v>5</v>
      </c>
      <c r="E135" s="148" t="s">
        <v>393</v>
      </c>
      <c r="F135" s="483" t="s">
        <v>393</v>
      </c>
      <c r="G135" s="78"/>
      <c r="H135" s="675"/>
      <c r="I135" s="78">
        <v>37883</v>
      </c>
      <c r="J135" s="688">
        <f>32220+11860</f>
        <v>44080</v>
      </c>
      <c r="K135" s="78">
        <v>9232</v>
      </c>
      <c r="L135" s="688">
        <f>7701+1811</f>
        <v>9512</v>
      </c>
      <c r="M135" s="78">
        <v>44929</v>
      </c>
      <c r="N135" s="688">
        <f>37202+11958</f>
        <v>49160</v>
      </c>
      <c r="O135" s="256">
        <f t="shared" si="59"/>
        <v>92044</v>
      </c>
      <c r="P135" s="89">
        <f t="shared" si="60"/>
        <v>3068.1333333333332</v>
      </c>
      <c r="Q135" s="257">
        <f t="shared" si="61"/>
        <v>102752</v>
      </c>
      <c r="R135" s="79">
        <f t="shared" si="62"/>
        <v>3425.0666666666666</v>
      </c>
      <c r="S135" s="674">
        <v>221</v>
      </c>
      <c r="T135" s="673">
        <v>440</v>
      </c>
      <c r="U135" s="256">
        <f t="shared" si="63"/>
        <v>92044</v>
      </c>
      <c r="V135" s="434">
        <f t="shared" si="64"/>
        <v>102752</v>
      </c>
      <c r="W135" s="78"/>
      <c r="X135" s="675"/>
      <c r="Y135" s="78"/>
      <c r="Z135" s="675"/>
      <c r="AA135" s="78"/>
      <c r="AB135" s="675"/>
      <c r="AC135" s="78"/>
      <c r="AD135" s="675"/>
      <c r="AE135" s="256">
        <f t="shared" si="65"/>
        <v>0</v>
      </c>
      <c r="AF135" s="89">
        <f t="shared" si="66"/>
        <v>0</v>
      </c>
      <c r="AG135" s="257">
        <f t="shared" si="67"/>
        <v>0</v>
      </c>
      <c r="AH135" s="79">
        <f t="shared" si="68"/>
        <v>0</v>
      </c>
      <c r="AI135" s="78"/>
      <c r="AJ135" s="675"/>
      <c r="AK135" s="256">
        <f t="shared" si="69"/>
        <v>0</v>
      </c>
      <c r="AL135" s="434">
        <f t="shared" si="70"/>
        <v>0</v>
      </c>
      <c r="AM135" s="78"/>
      <c r="AN135" s="675"/>
      <c r="AO135" s="78">
        <v>1055</v>
      </c>
      <c r="AP135" s="678">
        <v>944</v>
      </c>
      <c r="AQ135" s="78">
        <v>357</v>
      </c>
      <c r="AR135" s="678">
        <v>376</v>
      </c>
      <c r="AS135" s="78">
        <v>967</v>
      </c>
      <c r="AT135" s="678">
        <v>1262</v>
      </c>
      <c r="AU135" s="258">
        <f t="shared" si="71"/>
        <v>2379</v>
      </c>
      <c r="AV135" s="89">
        <f t="shared" si="72"/>
        <v>99.125</v>
      </c>
      <c r="AW135" s="257">
        <f t="shared" si="58"/>
        <v>2582</v>
      </c>
      <c r="AX135" s="79">
        <f t="shared" si="73"/>
        <v>107.58333333333333</v>
      </c>
      <c r="AY135" s="259">
        <f t="shared" si="74"/>
        <v>3167.2583333333332</v>
      </c>
      <c r="AZ135" s="79">
        <f t="shared" si="75"/>
        <v>3532.65</v>
      </c>
      <c r="BA135" s="680"/>
    </row>
    <row r="136" spans="1:53">
      <c r="A136" s="484" t="s">
        <v>503</v>
      </c>
      <c r="B136" s="281" t="s">
        <v>623</v>
      </c>
      <c r="C136" s="484">
        <v>139311</v>
      </c>
      <c r="D136" s="271">
        <v>6</v>
      </c>
      <c r="E136" s="148" t="s">
        <v>393</v>
      </c>
      <c r="F136" s="483" t="s">
        <v>393</v>
      </c>
      <c r="G136" s="78"/>
      <c r="H136" s="675"/>
      <c r="I136" s="78">
        <v>61913</v>
      </c>
      <c r="J136" s="688">
        <f>38660+26544</f>
        <v>65204</v>
      </c>
      <c r="K136" s="78">
        <v>23273</v>
      </c>
      <c r="L136" s="688">
        <f>14529+10738</f>
        <v>25267</v>
      </c>
      <c r="M136" s="78">
        <v>63680</v>
      </c>
      <c r="N136" s="688">
        <f>42465+26844</f>
        <v>69309</v>
      </c>
      <c r="O136" s="256">
        <f t="shared" si="59"/>
        <v>148866</v>
      </c>
      <c r="P136" s="89">
        <f t="shared" si="60"/>
        <v>4962.2</v>
      </c>
      <c r="Q136" s="257">
        <f t="shared" si="61"/>
        <v>159780</v>
      </c>
      <c r="R136" s="79">
        <f t="shared" si="62"/>
        <v>5326</v>
      </c>
      <c r="S136" s="674">
        <v>2599</v>
      </c>
      <c r="T136" s="673">
        <v>3246</v>
      </c>
      <c r="U136" s="256">
        <f t="shared" si="63"/>
        <v>148866</v>
      </c>
      <c r="V136" s="434">
        <f t="shared" si="64"/>
        <v>159780</v>
      </c>
      <c r="W136" s="78"/>
      <c r="X136" s="675"/>
      <c r="Y136" s="78"/>
      <c r="Z136" s="675"/>
      <c r="AA136" s="78"/>
      <c r="AB136" s="675"/>
      <c r="AC136" s="78"/>
      <c r="AD136" s="675"/>
      <c r="AE136" s="256">
        <f t="shared" si="65"/>
        <v>0</v>
      </c>
      <c r="AF136" s="89">
        <f t="shared" si="66"/>
        <v>0</v>
      </c>
      <c r="AG136" s="257">
        <f t="shared" si="67"/>
        <v>0</v>
      </c>
      <c r="AH136" s="79">
        <f t="shared" si="68"/>
        <v>0</v>
      </c>
      <c r="AI136" s="78"/>
      <c r="AJ136" s="675"/>
      <c r="AK136" s="256">
        <f t="shared" si="69"/>
        <v>0</v>
      </c>
      <c r="AL136" s="434">
        <f t="shared" si="70"/>
        <v>0</v>
      </c>
      <c r="AM136" s="78"/>
      <c r="AN136" s="675"/>
      <c r="AO136" s="78">
        <v>826</v>
      </c>
      <c r="AP136" s="678">
        <v>1110</v>
      </c>
      <c r="AQ136" s="78">
        <v>510</v>
      </c>
      <c r="AR136" s="678">
        <v>657</v>
      </c>
      <c r="AS136" s="78">
        <v>1164</v>
      </c>
      <c r="AT136" s="678">
        <v>1230</v>
      </c>
      <c r="AU136" s="258">
        <f t="shared" si="71"/>
        <v>2500</v>
      </c>
      <c r="AV136" s="89">
        <f t="shared" si="72"/>
        <v>104.16666666666667</v>
      </c>
      <c r="AW136" s="257">
        <f t="shared" si="58"/>
        <v>2997</v>
      </c>
      <c r="AX136" s="79">
        <f t="shared" si="73"/>
        <v>124.875</v>
      </c>
      <c r="AY136" s="259">
        <f t="shared" si="74"/>
        <v>5066.3666666666668</v>
      </c>
      <c r="AZ136" s="79">
        <f t="shared" si="75"/>
        <v>5450.875</v>
      </c>
      <c r="BA136" s="680"/>
    </row>
    <row r="137" spans="1:53">
      <c r="A137" s="484" t="s">
        <v>503</v>
      </c>
      <c r="B137" s="281" t="s">
        <v>625</v>
      </c>
      <c r="C137" s="484">
        <v>140322</v>
      </c>
      <c r="D137" s="271">
        <v>6</v>
      </c>
      <c r="E137" s="148" t="s">
        <v>393</v>
      </c>
      <c r="F137" s="483" t="s">
        <v>393</v>
      </c>
      <c r="G137" s="78"/>
      <c r="H137" s="675"/>
      <c r="I137" s="78">
        <v>59003</v>
      </c>
      <c r="J137" s="688">
        <f>47878+14632</f>
        <v>62510</v>
      </c>
      <c r="K137" s="78">
        <v>23920</v>
      </c>
      <c r="L137" s="688">
        <f>18166+5831</f>
        <v>23997</v>
      </c>
      <c r="M137" s="78">
        <v>63523</v>
      </c>
      <c r="N137" s="688">
        <f>52267+15121</f>
        <v>67388</v>
      </c>
      <c r="O137" s="256">
        <f t="shared" si="59"/>
        <v>146446</v>
      </c>
      <c r="P137" s="89">
        <f t="shared" si="60"/>
        <v>4881.5333333333338</v>
      </c>
      <c r="Q137" s="257">
        <f t="shared" si="61"/>
        <v>153895</v>
      </c>
      <c r="R137" s="79">
        <f t="shared" si="62"/>
        <v>5129.833333333333</v>
      </c>
      <c r="S137" s="674">
        <v>794</v>
      </c>
      <c r="T137" s="689">
        <v>743</v>
      </c>
      <c r="U137" s="256">
        <f t="shared" si="63"/>
        <v>146446</v>
      </c>
      <c r="V137" s="434">
        <f t="shared" si="64"/>
        <v>153895</v>
      </c>
      <c r="W137" s="78"/>
      <c r="X137" s="675"/>
      <c r="Y137" s="78"/>
      <c r="Z137" s="675"/>
      <c r="AA137" s="78"/>
      <c r="AB137" s="675"/>
      <c r="AC137" s="78"/>
      <c r="AD137" s="675"/>
      <c r="AE137" s="256">
        <f t="shared" si="65"/>
        <v>0</v>
      </c>
      <c r="AF137" s="89">
        <f t="shared" si="66"/>
        <v>0</v>
      </c>
      <c r="AG137" s="257">
        <f t="shared" si="67"/>
        <v>0</v>
      </c>
      <c r="AH137" s="79">
        <f t="shared" si="68"/>
        <v>0</v>
      </c>
      <c r="AI137" s="78"/>
      <c r="AJ137" s="675"/>
      <c r="AK137" s="256">
        <f t="shared" si="69"/>
        <v>0</v>
      </c>
      <c r="AL137" s="434">
        <f t="shared" si="70"/>
        <v>0</v>
      </c>
      <c r="AM137" s="78"/>
      <c r="AN137" s="675"/>
      <c r="AO137" s="78"/>
      <c r="AP137" s="678"/>
      <c r="AQ137" s="78"/>
      <c r="AR137" s="678"/>
      <c r="AS137" s="78"/>
      <c r="AT137" s="678"/>
      <c r="AU137" s="258">
        <f t="shared" si="71"/>
        <v>0</v>
      </c>
      <c r="AV137" s="89">
        <f t="shared" si="72"/>
        <v>0</v>
      </c>
      <c r="AW137" s="257">
        <f t="shared" si="58"/>
        <v>0</v>
      </c>
      <c r="AX137" s="79">
        <f t="shared" si="73"/>
        <v>0</v>
      </c>
      <c r="AY137" s="259">
        <f t="shared" si="74"/>
        <v>4881.5333333333338</v>
      </c>
      <c r="AZ137" s="79">
        <f t="shared" si="75"/>
        <v>5129.833333333333</v>
      </c>
      <c r="BA137" s="680"/>
    </row>
    <row r="138" spans="1:53">
      <c r="A138" s="484" t="s">
        <v>503</v>
      </c>
      <c r="B138" s="281" t="s">
        <v>624</v>
      </c>
      <c r="C138" s="484">
        <v>139463</v>
      </c>
      <c r="D138" s="271">
        <v>7</v>
      </c>
      <c r="E138" s="148" t="s">
        <v>393</v>
      </c>
      <c r="F138" s="483" t="s">
        <v>393</v>
      </c>
      <c r="G138" s="78"/>
      <c r="H138" s="675"/>
      <c r="I138" s="78">
        <v>41952</v>
      </c>
      <c r="J138" s="688">
        <f>44864+4638</f>
        <v>49502</v>
      </c>
      <c r="K138" s="78">
        <v>12194</v>
      </c>
      <c r="L138" s="688">
        <f>13075+1283</f>
        <v>14358</v>
      </c>
      <c r="M138" s="78">
        <v>50966</v>
      </c>
      <c r="N138" s="688">
        <f>54852+6412</f>
        <v>61264</v>
      </c>
      <c r="O138" s="256">
        <f t="shared" si="59"/>
        <v>105112</v>
      </c>
      <c r="P138" s="89">
        <f t="shared" si="60"/>
        <v>3503.7333333333331</v>
      </c>
      <c r="Q138" s="257">
        <f t="shared" si="61"/>
        <v>125124</v>
      </c>
      <c r="R138" s="79">
        <f t="shared" si="62"/>
        <v>4170.8</v>
      </c>
      <c r="S138" s="674">
        <v>906</v>
      </c>
      <c r="T138" s="673">
        <v>1065</v>
      </c>
      <c r="U138" s="256">
        <f t="shared" si="63"/>
        <v>105112</v>
      </c>
      <c r="V138" s="434">
        <f t="shared" si="64"/>
        <v>125124</v>
      </c>
      <c r="W138" s="78"/>
      <c r="X138" s="675"/>
      <c r="Y138" s="78"/>
      <c r="Z138" s="675"/>
      <c r="AA138" s="78"/>
      <c r="AB138" s="675"/>
      <c r="AC138" s="78"/>
      <c r="AD138" s="675"/>
      <c r="AE138" s="256">
        <f t="shared" si="65"/>
        <v>0</v>
      </c>
      <c r="AF138" s="89">
        <f t="shared" si="66"/>
        <v>0</v>
      </c>
      <c r="AG138" s="257">
        <f t="shared" si="67"/>
        <v>0</v>
      </c>
      <c r="AH138" s="79">
        <f t="shared" si="68"/>
        <v>0</v>
      </c>
      <c r="AI138" s="78"/>
      <c r="AJ138" s="675"/>
      <c r="AK138" s="256">
        <f t="shared" si="69"/>
        <v>0</v>
      </c>
      <c r="AL138" s="434">
        <f t="shared" si="70"/>
        <v>0</v>
      </c>
      <c r="AM138" s="78"/>
      <c r="AN138" s="675"/>
      <c r="AO138" s="78"/>
      <c r="AP138" s="678"/>
      <c r="AQ138" s="78"/>
      <c r="AR138" s="678"/>
      <c r="AS138" s="78"/>
      <c r="AT138" s="678"/>
      <c r="AU138" s="258">
        <f t="shared" si="71"/>
        <v>0</v>
      </c>
      <c r="AV138" s="89">
        <f t="shared" si="72"/>
        <v>0</v>
      </c>
      <c r="AW138" s="257">
        <f t="shared" si="58"/>
        <v>0</v>
      </c>
      <c r="AX138" s="79">
        <f t="shared" si="73"/>
        <v>0</v>
      </c>
      <c r="AY138" s="259">
        <f t="shared" si="74"/>
        <v>3503.7333333333331</v>
      </c>
      <c r="AZ138" s="79">
        <f t="shared" si="75"/>
        <v>4170.8</v>
      </c>
      <c r="BA138" s="680"/>
    </row>
    <row r="139" spans="1:53">
      <c r="A139" s="484" t="s">
        <v>503</v>
      </c>
      <c r="B139" s="281" t="s">
        <v>626</v>
      </c>
      <c r="C139" s="484">
        <v>244437</v>
      </c>
      <c r="D139" s="271">
        <v>8</v>
      </c>
      <c r="E139" s="148" t="s">
        <v>393</v>
      </c>
      <c r="F139" s="483" t="s">
        <v>393</v>
      </c>
      <c r="G139" s="78"/>
      <c r="H139" s="675"/>
      <c r="I139" s="78">
        <v>202370</v>
      </c>
      <c r="J139" s="688">
        <v>225921</v>
      </c>
      <c r="K139" s="78">
        <v>79386</v>
      </c>
      <c r="L139" s="688">
        <v>92228</v>
      </c>
      <c r="M139" s="78">
        <v>215707</v>
      </c>
      <c r="N139" s="688">
        <v>240833</v>
      </c>
      <c r="O139" s="256">
        <f t="shared" si="59"/>
        <v>497463</v>
      </c>
      <c r="P139" s="89">
        <f t="shared" si="60"/>
        <v>16582.099999999999</v>
      </c>
      <c r="Q139" s="257">
        <f t="shared" si="61"/>
        <v>558982</v>
      </c>
      <c r="R139" s="79">
        <f t="shared" si="62"/>
        <v>18632.733333333334</v>
      </c>
      <c r="S139" s="674">
        <v>9330</v>
      </c>
      <c r="T139" s="689">
        <v>9003</v>
      </c>
      <c r="U139" s="256">
        <f t="shared" si="63"/>
        <v>497463</v>
      </c>
      <c r="V139" s="434">
        <f t="shared" si="64"/>
        <v>558982</v>
      </c>
      <c r="W139" s="78"/>
      <c r="X139" s="675"/>
      <c r="Y139" s="78"/>
      <c r="Z139" s="675"/>
      <c r="AA139" s="78"/>
      <c r="AB139" s="675"/>
      <c r="AC139" s="78"/>
      <c r="AD139" s="675"/>
      <c r="AE139" s="256">
        <f t="shared" si="65"/>
        <v>0</v>
      </c>
      <c r="AF139" s="89">
        <f t="shared" si="66"/>
        <v>0</v>
      </c>
      <c r="AG139" s="257">
        <f t="shared" si="67"/>
        <v>0</v>
      </c>
      <c r="AH139" s="79">
        <f t="shared" si="68"/>
        <v>0</v>
      </c>
      <c r="AI139" s="78"/>
      <c r="AJ139" s="675"/>
      <c r="AK139" s="256">
        <f t="shared" si="69"/>
        <v>0</v>
      </c>
      <c r="AL139" s="434">
        <f t="shared" si="70"/>
        <v>0</v>
      </c>
      <c r="AM139" s="78"/>
      <c r="AN139" s="675"/>
      <c r="AO139" s="78"/>
      <c r="AP139" s="678"/>
      <c r="AQ139" s="78"/>
      <c r="AR139" s="678"/>
      <c r="AS139" s="78"/>
      <c r="AT139" s="678"/>
      <c r="AU139" s="258">
        <f t="shared" si="71"/>
        <v>0</v>
      </c>
      <c r="AV139" s="89">
        <f t="shared" si="72"/>
        <v>0</v>
      </c>
      <c r="AW139" s="257">
        <f t="shared" si="58"/>
        <v>0</v>
      </c>
      <c r="AX139" s="79">
        <f t="shared" si="73"/>
        <v>0</v>
      </c>
      <c r="AY139" s="259">
        <f t="shared" si="74"/>
        <v>16582.099999999999</v>
      </c>
      <c r="AZ139" s="79">
        <f t="shared" si="75"/>
        <v>18632.733333333334</v>
      </c>
      <c r="BA139" s="680"/>
    </row>
    <row r="140" spans="1:53">
      <c r="A140" s="484" t="s">
        <v>503</v>
      </c>
      <c r="B140" s="281" t="s">
        <v>627</v>
      </c>
      <c r="C140" s="484">
        <v>138558</v>
      </c>
      <c r="D140" s="271">
        <v>9</v>
      </c>
      <c r="E140" s="148" t="s">
        <v>393</v>
      </c>
      <c r="F140" s="483" t="s">
        <v>393</v>
      </c>
      <c r="G140" s="78"/>
      <c r="H140" s="675"/>
      <c r="I140" s="78">
        <v>36552</v>
      </c>
      <c r="J140" s="688">
        <f>37004+749</f>
        <v>37753</v>
      </c>
      <c r="K140" s="78">
        <v>7671</v>
      </c>
      <c r="L140" s="688">
        <f>8182+56</f>
        <v>8238</v>
      </c>
      <c r="M140" s="78">
        <v>41998</v>
      </c>
      <c r="N140" s="688">
        <f>38670+880</f>
        <v>39550</v>
      </c>
      <c r="O140" s="256">
        <f t="shared" si="59"/>
        <v>86221</v>
      </c>
      <c r="P140" s="89">
        <f t="shared" si="60"/>
        <v>2874.0333333333333</v>
      </c>
      <c r="Q140" s="257">
        <f t="shared" si="61"/>
        <v>85541</v>
      </c>
      <c r="R140" s="79">
        <f t="shared" si="62"/>
        <v>2851.3666666666668</v>
      </c>
      <c r="S140" s="674">
        <v>399</v>
      </c>
      <c r="T140" s="673">
        <v>296</v>
      </c>
      <c r="U140" s="256">
        <f t="shared" si="63"/>
        <v>86221</v>
      </c>
      <c r="V140" s="434">
        <f t="shared" si="64"/>
        <v>85541</v>
      </c>
      <c r="W140" s="78"/>
      <c r="X140" s="675"/>
      <c r="Y140" s="78"/>
      <c r="Z140" s="675"/>
      <c r="AA140" s="78"/>
      <c r="AB140" s="675"/>
      <c r="AC140" s="78"/>
      <c r="AD140" s="675"/>
      <c r="AE140" s="256">
        <f t="shared" si="65"/>
        <v>0</v>
      </c>
      <c r="AF140" s="89">
        <f t="shared" si="66"/>
        <v>0</v>
      </c>
      <c r="AG140" s="257">
        <f t="shared" si="67"/>
        <v>0</v>
      </c>
      <c r="AH140" s="79">
        <f t="shared" si="68"/>
        <v>0</v>
      </c>
      <c r="AI140" s="78"/>
      <c r="AJ140" s="675"/>
      <c r="AK140" s="256">
        <f t="shared" si="69"/>
        <v>0</v>
      </c>
      <c r="AL140" s="434">
        <f t="shared" si="70"/>
        <v>0</v>
      </c>
      <c r="AM140" s="78"/>
      <c r="AN140" s="675"/>
      <c r="AO140" s="78"/>
      <c r="AP140" s="678"/>
      <c r="AQ140" s="78"/>
      <c r="AR140" s="678"/>
      <c r="AS140" s="78"/>
      <c r="AT140" s="678"/>
      <c r="AU140" s="258">
        <f t="shared" si="71"/>
        <v>0</v>
      </c>
      <c r="AV140" s="89">
        <f t="shared" si="72"/>
        <v>0</v>
      </c>
      <c r="AW140" s="257">
        <f t="shared" si="58"/>
        <v>0</v>
      </c>
      <c r="AX140" s="79">
        <f t="shared" si="73"/>
        <v>0</v>
      </c>
      <c r="AY140" s="259">
        <f t="shared" si="74"/>
        <v>2874.0333333333333</v>
      </c>
      <c r="AZ140" s="79">
        <f t="shared" si="75"/>
        <v>2851.3666666666668</v>
      </c>
      <c r="BA140" s="680"/>
    </row>
    <row r="141" spans="1:53">
      <c r="A141" s="484" t="s">
        <v>503</v>
      </c>
      <c r="B141" s="281" t="s">
        <v>634</v>
      </c>
      <c r="C141" s="484">
        <v>139010</v>
      </c>
      <c r="D141" s="271">
        <v>9</v>
      </c>
      <c r="E141" s="148" t="s">
        <v>393</v>
      </c>
      <c r="F141" s="483" t="s">
        <v>393</v>
      </c>
      <c r="G141" s="78"/>
      <c r="H141" s="675"/>
      <c r="I141" s="78">
        <v>25200</v>
      </c>
      <c r="J141" s="688">
        <v>31046</v>
      </c>
      <c r="K141" s="78">
        <v>12440</v>
      </c>
      <c r="L141" s="688">
        <f>17788</f>
        <v>17788</v>
      </c>
      <c r="M141" s="78">
        <v>29642</v>
      </c>
      <c r="N141" s="688">
        <v>36256</v>
      </c>
      <c r="O141" s="256">
        <f t="shared" si="59"/>
        <v>67282</v>
      </c>
      <c r="P141" s="89">
        <f t="shared" si="60"/>
        <v>2242.7333333333331</v>
      </c>
      <c r="Q141" s="257">
        <f t="shared" si="61"/>
        <v>85090</v>
      </c>
      <c r="R141" s="79">
        <f t="shared" si="62"/>
        <v>2836.3333333333335</v>
      </c>
      <c r="S141" s="674">
        <v>3310</v>
      </c>
      <c r="T141" s="673">
        <v>2400</v>
      </c>
      <c r="U141" s="256">
        <f t="shared" si="63"/>
        <v>67282</v>
      </c>
      <c r="V141" s="434">
        <f t="shared" si="64"/>
        <v>85090</v>
      </c>
      <c r="W141" s="78"/>
      <c r="X141" s="675"/>
      <c r="Y141" s="78"/>
      <c r="Z141" s="675"/>
      <c r="AA141" s="78"/>
      <c r="AB141" s="675"/>
      <c r="AC141" s="78"/>
      <c r="AD141" s="675"/>
      <c r="AE141" s="256">
        <f t="shared" si="65"/>
        <v>0</v>
      </c>
      <c r="AF141" s="89">
        <f t="shared" si="66"/>
        <v>0</v>
      </c>
      <c r="AG141" s="257">
        <f t="shared" si="67"/>
        <v>0</v>
      </c>
      <c r="AH141" s="79">
        <f t="shared" si="68"/>
        <v>0</v>
      </c>
      <c r="AI141" s="78"/>
      <c r="AJ141" s="675"/>
      <c r="AK141" s="256">
        <f t="shared" si="69"/>
        <v>0</v>
      </c>
      <c r="AL141" s="434">
        <f t="shared" si="70"/>
        <v>0</v>
      </c>
      <c r="AM141" s="78"/>
      <c r="AN141" s="675"/>
      <c r="AO141" s="78"/>
      <c r="AP141" s="678"/>
      <c r="AQ141" s="78"/>
      <c r="AR141" s="678"/>
      <c r="AS141" s="78"/>
      <c r="AT141" s="678"/>
      <c r="AU141" s="258">
        <f t="shared" si="71"/>
        <v>0</v>
      </c>
      <c r="AV141" s="89">
        <f t="shared" si="72"/>
        <v>0</v>
      </c>
      <c r="AW141" s="257">
        <f t="shared" si="58"/>
        <v>0</v>
      </c>
      <c r="AX141" s="79">
        <f t="shared" si="73"/>
        <v>0</v>
      </c>
      <c r="AY141" s="259">
        <f t="shared" si="74"/>
        <v>2242.7333333333331</v>
      </c>
      <c r="AZ141" s="79">
        <f t="shared" si="75"/>
        <v>2836.3333333333335</v>
      </c>
      <c r="BA141" s="680"/>
    </row>
    <row r="142" spans="1:53">
      <c r="A142" s="484" t="s">
        <v>503</v>
      </c>
      <c r="B142" s="94" t="s">
        <v>794</v>
      </c>
      <c r="C142" s="282">
        <v>139250</v>
      </c>
      <c r="D142" s="96">
        <v>9</v>
      </c>
      <c r="E142" s="148" t="s">
        <v>393</v>
      </c>
      <c r="F142" s="483" t="s">
        <v>393</v>
      </c>
      <c r="G142" s="78"/>
      <c r="H142" s="675"/>
      <c r="I142" s="78">
        <v>24689.5</v>
      </c>
      <c r="J142" s="688">
        <v>25361</v>
      </c>
      <c r="K142" s="78">
        <v>8288</v>
      </c>
      <c r="L142" s="688">
        <f>7889</f>
        <v>7889</v>
      </c>
      <c r="M142" s="78">
        <v>26820</v>
      </c>
      <c r="N142" s="688">
        <f>29623+1122</f>
        <v>30745</v>
      </c>
      <c r="O142" s="256">
        <f t="shared" si="59"/>
        <v>59797.5</v>
      </c>
      <c r="P142" s="89">
        <f t="shared" si="60"/>
        <v>1993.25</v>
      </c>
      <c r="Q142" s="257">
        <f t="shared" si="61"/>
        <v>63995</v>
      </c>
      <c r="R142" s="79">
        <f t="shared" si="62"/>
        <v>2133.1666666666665</v>
      </c>
      <c r="S142" s="674">
        <v>549</v>
      </c>
      <c r="T142" s="673">
        <v>377</v>
      </c>
      <c r="U142" s="256">
        <f t="shared" si="63"/>
        <v>59797.5</v>
      </c>
      <c r="V142" s="434">
        <f t="shared" si="64"/>
        <v>63995</v>
      </c>
      <c r="W142" s="78"/>
      <c r="X142" s="675"/>
      <c r="Y142" s="78"/>
      <c r="Z142" s="675"/>
      <c r="AA142" s="78"/>
      <c r="AB142" s="675"/>
      <c r="AC142" s="78"/>
      <c r="AD142" s="675"/>
      <c r="AE142" s="256">
        <f t="shared" si="65"/>
        <v>0</v>
      </c>
      <c r="AF142" s="89">
        <f t="shared" si="66"/>
        <v>0</v>
      </c>
      <c r="AG142" s="257">
        <f t="shared" si="67"/>
        <v>0</v>
      </c>
      <c r="AH142" s="79">
        <f t="shared" si="68"/>
        <v>0</v>
      </c>
      <c r="AI142" s="78"/>
      <c r="AJ142" s="675"/>
      <c r="AK142" s="256">
        <f t="shared" si="69"/>
        <v>0</v>
      </c>
      <c r="AL142" s="434">
        <f t="shared" si="70"/>
        <v>0</v>
      </c>
      <c r="AM142" s="78"/>
      <c r="AN142" s="675"/>
      <c r="AO142" s="78"/>
      <c r="AP142" s="678"/>
      <c r="AQ142" s="78"/>
      <c r="AR142" s="678"/>
      <c r="AS142" s="78"/>
      <c r="AT142" s="678"/>
      <c r="AU142" s="258">
        <f t="shared" si="71"/>
        <v>0</v>
      </c>
      <c r="AV142" s="89">
        <f t="shared" si="72"/>
        <v>0</v>
      </c>
      <c r="AW142" s="257">
        <f t="shared" si="58"/>
        <v>0</v>
      </c>
      <c r="AX142" s="79">
        <f t="shared" si="73"/>
        <v>0</v>
      </c>
      <c r="AY142" s="259">
        <f t="shared" si="74"/>
        <v>1993.25</v>
      </c>
      <c r="AZ142" s="79">
        <f t="shared" si="75"/>
        <v>2133.1666666666665</v>
      </c>
      <c r="BA142" s="680"/>
    </row>
    <row r="143" spans="1:53">
      <c r="A143" s="484" t="s">
        <v>503</v>
      </c>
      <c r="B143" s="94" t="s">
        <v>628</v>
      </c>
      <c r="C143" s="484">
        <v>138691</v>
      </c>
      <c r="D143" s="271">
        <v>9</v>
      </c>
      <c r="E143" s="148" t="s">
        <v>393</v>
      </c>
      <c r="F143" s="483" t="s">
        <v>393</v>
      </c>
      <c r="G143" s="78"/>
      <c r="H143" s="675"/>
      <c r="I143" s="78">
        <v>42553.5</v>
      </c>
      <c r="J143" s="688">
        <v>46162</v>
      </c>
      <c r="K143" s="78">
        <v>21883</v>
      </c>
      <c r="L143" s="688">
        <v>25986</v>
      </c>
      <c r="M143" s="78">
        <v>49620.5</v>
      </c>
      <c r="N143" s="688">
        <v>59081</v>
      </c>
      <c r="O143" s="256">
        <f t="shared" si="59"/>
        <v>114057</v>
      </c>
      <c r="P143" s="89">
        <f t="shared" si="60"/>
        <v>3801.9</v>
      </c>
      <c r="Q143" s="257">
        <f t="shared" si="61"/>
        <v>131229</v>
      </c>
      <c r="R143" s="79">
        <f t="shared" si="62"/>
        <v>4374.3</v>
      </c>
      <c r="S143" s="674">
        <v>855</v>
      </c>
      <c r="T143" s="673">
        <v>686.5</v>
      </c>
      <c r="U143" s="256">
        <f t="shared" si="63"/>
        <v>114057</v>
      </c>
      <c r="V143" s="434">
        <f t="shared" si="64"/>
        <v>131229</v>
      </c>
      <c r="W143" s="78"/>
      <c r="X143" s="675"/>
      <c r="Y143" s="78"/>
      <c r="Z143" s="675"/>
      <c r="AA143" s="78"/>
      <c r="AB143" s="675"/>
      <c r="AC143" s="78"/>
      <c r="AD143" s="675"/>
      <c r="AE143" s="256">
        <f t="shared" si="65"/>
        <v>0</v>
      </c>
      <c r="AF143" s="89">
        <f t="shared" si="66"/>
        <v>0</v>
      </c>
      <c r="AG143" s="257">
        <f t="shared" si="67"/>
        <v>0</v>
      </c>
      <c r="AH143" s="79">
        <f t="shared" si="68"/>
        <v>0</v>
      </c>
      <c r="AI143" s="78"/>
      <c r="AJ143" s="675"/>
      <c r="AK143" s="256">
        <f t="shared" si="69"/>
        <v>0</v>
      </c>
      <c r="AL143" s="434">
        <f t="shared" si="70"/>
        <v>0</v>
      </c>
      <c r="AM143" s="78"/>
      <c r="AN143" s="675"/>
      <c r="AO143" s="78"/>
      <c r="AP143" s="678"/>
      <c r="AQ143" s="78"/>
      <c r="AR143" s="678"/>
      <c r="AS143" s="78"/>
      <c r="AT143" s="678"/>
      <c r="AU143" s="258">
        <f t="shared" si="71"/>
        <v>0</v>
      </c>
      <c r="AV143" s="89">
        <f t="shared" si="72"/>
        <v>0</v>
      </c>
      <c r="AW143" s="257">
        <f t="shared" si="58"/>
        <v>0</v>
      </c>
      <c r="AX143" s="79">
        <f t="shared" si="73"/>
        <v>0</v>
      </c>
      <c r="AY143" s="259">
        <f t="shared" si="74"/>
        <v>3801.9</v>
      </c>
      <c r="AZ143" s="79">
        <f t="shared" si="75"/>
        <v>4374.3</v>
      </c>
      <c r="BA143" s="680"/>
    </row>
    <row r="144" spans="1:53">
      <c r="A144" s="292" t="s">
        <v>503</v>
      </c>
      <c r="B144" s="95" t="s">
        <v>629</v>
      </c>
      <c r="C144" s="282">
        <v>139773</v>
      </c>
      <c r="D144" s="96">
        <v>9</v>
      </c>
      <c r="E144" s="148" t="s">
        <v>393</v>
      </c>
      <c r="F144" s="483" t="s">
        <v>393</v>
      </c>
      <c r="G144" s="78"/>
      <c r="H144" s="675"/>
      <c r="I144" s="78">
        <v>76439</v>
      </c>
      <c r="J144" s="688">
        <f>82232+2219</f>
        <v>84451</v>
      </c>
      <c r="K144" s="78">
        <v>19237</v>
      </c>
      <c r="L144" s="688">
        <f>19094+1406</f>
        <v>20500</v>
      </c>
      <c r="M144" s="78">
        <v>91517</v>
      </c>
      <c r="N144" s="688">
        <f>96021+2706</f>
        <v>98727</v>
      </c>
      <c r="O144" s="256">
        <f t="shared" si="59"/>
        <v>187193</v>
      </c>
      <c r="P144" s="89">
        <f t="shared" si="60"/>
        <v>6239.7666666666664</v>
      </c>
      <c r="Q144" s="257">
        <f t="shared" si="61"/>
        <v>203678</v>
      </c>
      <c r="R144" s="79">
        <f t="shared" si="62"/>
        <v>6789.2666666666664</v>
      </c>
      <c r="S144" s="674">
        <v>1415</v>
      </c>
      <c r="T144" s="673">
        <v>1636</v>
      </c>
      <c r="U144" s="256">
        <f t="shared" si="63"/>
        <v>187193</v>
      </c>
      <c r="V144" s="434">
        <f t="shared" si="64"/>
        <v>203678</v>
      </c>
      <c r="W144" s="78"/>
      <c r="X144" s="675"/>
      <c r="Y144" s="78"/>
      <c r="Z144" s="675"/>
      <c r="AA144" s="78"/>
      <c r="AB144" s="675"/>
      <c r="AC144" s="78"/>
      <c r="AD144" s="675"/>
      <c r="AE144" s="256">
        <f t="shared" si="65"/>
        <v>0</v>
      </c>
      <c r="AF144" s="89">
        <f t="shared" si="66"/>
        <v>0</v>
      </c>
      <c r="AG144" s="257">
        <f t="shared" si="67"/>
        <v>0</v>
      </c>
      <c r="AH144" s="79">
        <f t="shared" si="68"/>
        <v>0</v>
      </c>
      <c r="AI144" s="78"/>
      <c r="AJ144" s="675"/>
      <c r="AK144" s="256">
        <f t="shared" si="69"/>
        <v>0</v>
      </c>
      <c r="AL144" s="434">
        <f t="shared" si="70"/>
        <v>0</v>
      </c>
      <c r="AM144" s="78"/>
      <c r="AN144" s="675"/>
      <c r="AO144" s="78"/>
      <c r="AP144" s="678"/>
      <c r="AQ144" s="78"/>
      <c r="AR144" s="678"/>
      <c r="AS144" s="78"/>
      <c r="AT144" s="678"/>
      <c r="AU144" s="258">
        <f t="shared" si="71"/>
        <v>0</v>
      </c>
      <c r="AV144" s="89">
        <f t="shared" si="72"/>
        <v>0</v>
      </c>
      <c r="AW144" s="257">
        <f t="shared" si="58"/>
        <v>0</v>
      </c>
      <c r="AX144" s="79">
        <f t="shared" si="73"/>
        <v>0</v>
      </c>
      <c r="AY144" s="259">
        <f t="shared" si="74"/>
        <v>6239.7666666666664</v>
      </c>
      <c r="AZ144" s="79">
        <f t="shared" si="75"/>
        <v>6789.2666666666664</v>
      </c>
      <c r="BA144" s="680"/>
    </row>
    <row r="145" spans="1:53">
      <c r="A145" s="292" t="s">
        <v>503</v>
      </c>
      <c r="B145" s="485" t="s">
        <v>630</v>
      </c>
      <c r="C145" s="282">
        <v>139700</v>
      </c>
      <c r="D145" s="96">
        <v>9</v>
      </c>
      <c r="E145" s="148" t="s">
        <v>393</v>
      </c>
      <c r="F145" s="483" t="s">
        <v>393</v>
      </c>
      <c r="G145" s="78"/>
      <c r="H145" s="675"/>
      <c r="I145" s="78">
        <v>43495</v>
      </c>
      <c r="J145" s="688">
        <v>48501</v>
      </c>
      <c r="K145" s="78">
        <v>11293</v>
      </c>
      <c r="L145" s="688">
        <f>13494</f>
        <v>13494</v>
      </c>
      <c r="M145" s="78">
        <v>48965</v>
      </c>
      <c r="N145" s="688">
        <v>55975</v>
      </c>
      <c r="O145" s="256">
        <f t="shared" si="59"/>
        <v>103753</v>
      </c>
      <c r="P145" s="89">
        <f t="shared" si="60"/>
        <v>3458.4333333333334</v>
      </c>
      <c r="Q145" s="257">
        <f t="shared" si="61"/>
        <v>117970</v>
      </c>
      <c r="R145" s="79">
        <f t="shared" si="62"/>
        <v>3932.3333333333335</v>
      </c>
      <c r="S145" s="674">
        <v>849</v>
      </c>
      <c r="T145" s="689">
        <v>780</v>
      </c>
      <c r="U145" s="256">
        <f t="shared" si="63"/>
        <v>103753</v>
      </c>
      <c r="V145" s="434">
        <f t="shared" si="64"/>
        <v>117970</v>
      </c>
      <c r="W145" s="78"/>
      <c r="X145" s="675"/>
      <c r="Y145" s="78"/>
      <c r="Z145" s="675"/>
      <c r="AA145" s="78"/>
      <c r="AB145" s="675"/>
      <c r="AC145" s="78"/>
      <c r="AD145" s="675"/>
      <c r="AE145" s="256">
        <f t="shared" si="65"/>
        <v>0</v>
      </c>
      <c r="AF145" s="89">
        <f t="shared" si="66"/>
        <v>0</v>
      </c>
      <c r="AG145" s="257">
        <f t="shared" si="67"/>
        <v>0</v>
      </c>
      <c r="AH145" s="79">
        <f t="shared" si="68"/>
        <v>0</v>
      </c>
      <c r="AI145" s="78"/>
      <c r="AJ145" s="675"/>
      <c r="AK145" s="256">
        <f t="shared" si="69"/>
        <v>0</v>
      </c>
      <c r="AL145" s="434">
        <f t="shared" si="70"/>
        <v>0</v>
      </c>
      <c r="AM145" s="78"/>
      <c r="AN145" s="675"/>
      <c r="AO145" s="78"/>
      <c r="AP145" s="678"/>
      <c r="AQ145" s="78"/>
      <c r="AR145" s="678"/>
      <c r="AS145" s="78"/>
      <c r="AT145" s="678"/>
      <c r="AU145" s="258">
        <f t="shared" si="71"/>
        <v>0</v>
      </c>
      <c r="AV145" s="89">
        <f t="shared" si="72"/>
        <v>0</v>
      </c>
      <c r="AW145" s="257">
        <f t="shared" si="58"/>
        <v>0</v>
      </c>
      <c r="AX145" s="79">
        <f t="shared" si="73"/>
        <v>0</v>
      </c>
      <c r="AY145" s="259">
        <f t="shared" si="74"/>
        <v>3458.4333333333334</v>
      </c>
      <c r="AZ145" s="79">
        <f t="shared" si="75"/>
        <v>3932.3333333333335</v>
      </c>
      <c r="BA145" s="680"/>
    </row>
    <row r="146" spans="1:53">
      <c r="A146" s="484" t="s">
        <v>503</v>
      </c>
      <c r="B146" s="281" t="s">
        <v>631</v>
      </c>
      <c r="C146" s="484">
        <v>139968</v>
      </c>
      <c r="D146" s="271">
        <v>9</v>
      </c>
      <c r="E146" s="148" t="s">
        <v>393</v>
      </c>
      <c r="F146" s="483" t="s">
        <v>393</v>
      </c>
      <c r="G146" s="78"/>
      <c r="H146" s="675"/>
      <c r="I146" s="78">
        <v>38237</v>
      </c>
      <c r="J146" s="688">
        <f>42752+1311</f>
        <v>44063</v>
      </c>
      <c r="K146" s="78">
        <v>7129</v>
      </c>
      <c r="L146" s="688">
        <f>7669+633</f>
        <v>8302</v>
      </c>
      <c r="M146" s="78">
        <v>45210</v>
      </c>
      <c r="N146" s="688">
        <f>52282+2061</f>
        <v>54343</v>
      </c>
      <c r="O146" s="256">
        <f t="shared" si="59"/>
        <v>90576</v>
      </c>
      <c r="P146" s="89">
        <f t="shared" si="60"/>
        <v>3019.2</v>
      </c>
      <c r="Q146" s="257">
        <f t="shared" si="61"/>
        <v>106708</v>
      </c>
      <c r="R146" s="79">
        <f t="shared" si="62"/>
        <v>3556.9333333333334</v>
      </c>
      <c r="S146" s="674">
        <v>658</v>
      </c>
      <c r="T146" s="673">
        <v>451</v>
      </c>
      <c r="U146" s="256">
        <f t="shared" si="63"/>
        <v>90576</v>
      </c>
      <c r="V146" s="434">
        <f t="shared" si="64"/>
        <v>106708</v>
      </c>
      <c r="W146" s="78"/>
      <c r="X146" s="675"/>
      <c r="Y146" s="78"/>
      <c r="Z146" s="675"/>
      <c r="AA146" s="78"/>
      <c r="AB146" s="675"/>
      <c r="AC146" s="78"/>
      <c r="AD146" s="675"/>
      <c r="AE146" s="256">
        <f t="shared" si="65"/>
        <v>0</v>
      </c>
      <c r="AF146" s="89">
        <f t="shared" si="66"/>
        <v>0</v>
      </c>
      <c r="AG146" s="257">
        <f t="shared" si="67"/>
        <v>0</v>
      </c>
      <c r="AH146" s="79">
        <f t="shared" si="68"/>
        <v>0</v>
      </c>
      <c r="AI146" s="78"/>
      <c r="AJ146" s="675"/>
      <c r="AK146" s="256">
        <f t="shared" si="69"/>
        <v>0</v>
      </c>
      <c r="AL146" s="434">
        <f t="shared" si="70"/>
        <v>0</v>
      </c>
      <c r="AM146" s="78"/>
      <c r="AN146" s="675"/>
      <c r="AO146" s="78"/>
      <c r="AP146" s="678"/>
      <c r="AQ146" s="78"/>
      <c r="AR146" s="678"/>
      <c r="AS146" s="78"/>
      <c r="AT146" s="678"/>
      <c r="AU146" s="258">
        <f t="shared" si="71"/>
        <v>0</v>
      </c>
      <c r="AV146" s="89">
        <f t="shared" si="72"/>
        <v>0</v>
      </c>
      <c r="AW146" s="257">
        <f t="shared" si="58"/>
        <v>0</v>
      </c>
      <c r="AX146" s="79">
        <f t="shared" si="73"/>
        <v>0</v>
      </c>
      <c r="AY146" s="259">
        <f t="shared" si="74"/>
        <v>3019.2</v>
      </c>
      <c r="AZ146" s="79">
        <f t="shared" si="75"/>
        <v>3556.9333333333334</v>
      </c>
      <c r="BA146" s="680"/>
    </row>
    <row r="147" spans="1:53">
      <c r="A147" s="484" t="s">
        <v>503</v>
      </c>
      <c r="B147" s="485" t="s">
        <v>632</v>
      </c>
      <c r="C147" s="484">
        <v>140483</v>
      </c>
      <c r="D147" s="271">
        <v>9</v>
      </c>
      <c r="E147" s="148" t="s">
        <v>393</v>
      </c>
      <c r="F147" s="483" t="s">
        <v>393</v>
      </c>
      <c r="G147" s="78"/>
      <c r="H147" s="675"/>
      <c r="I147" s="78">
        <v>36036</v>
      </c>
      <c r="J147" s="688">
        <f>36905+873</f>
        <v>37778</v>
      </c>
      <c r="K147" s="78">
        <v>10482</v>
      </c>
      <c r="L147" s="688">
        <f>11393+697</f>
        <v>12090</v>
      </c>
      <c r="M147" s="78">
        <v>38649</v>
      </c>
      <c r="N147" s="688">
        <f>41324+1283</f>
        <v>42607</v>
      </c>
      <c r="O147" s="256">
        <f t="shared" si="59"/>
        <v>85167</v>
      </c>
      <c r="P147" s="89">
        <f t="shared" si="60"/>
        <v>2838.9</v>
      </c>
      <c r="Q147" s="257">
        <f t="shared" si="61"/>
        <v>92475</v>
      </c>
      <c r="R147" s="79">
        <f t="shared" si="62"/>
        <v>3082.5</v>
      </c>
      <c r="S147" s="674">
        <v>3542</v>
      </c>
      <c r="T147" s="689">
        <v>3561</v>
      </c>
      <c r="U147" s="256">
        <f t="shared" si="63"/>
        <v>85167</v>
      </c>
      <c r="V147" s="434">
        <f t="shared" si="64"/>
        <v>92475</v>
      </c>
      <c r="W147" s="78"/>
      <c r="X147" s="675"/>
      <c r="Y147" s="78"/>
      <c r="Z147" s="675"/>
      <c r="AA147" s="78"/>
      <c r="AB147" s="675"/>
      <c r="AC147" s="78"/>
      <c r="AD147" s="675"/>
      <c r="AE147" s="256">
        <f t="shared" si="65"/>
        <v>0</v>
      </c>
      <c r="AF147" s="89">
        <f t="shared" si="66"/>
        <v>0</v>
      </c>
      <c r="AG147" s="257">
        <f t="shared" si="67"/>
        <v>0</v>
      </c>
      <c r="AH147" s="79">
        <f t="shared" si="68"/>
        <v>0</v>
      </c>
      <c r="AI147" s="78"/>
      <c r="AJ147" s="675"/>
      <c r="AK147" s="256">
        <f t="shared" si="69"/>
        <v>0</v>
      </c>
      <c r="AL147" s="434">
        <f t="shared" si="70"/>
        <v>0</v>
      </c>
      <c r="AM147" s="78"/>
      <c r="AN147" s="675"/>
      <c r="AO147" s="78"/>
      <c r="AP147" s="678"/>
      <c r="AQ147" s="78"/>
      <c r="AR147" s="678"/>
      <c r="AS147" s="78"/>
      <c r="AT147" s="678"/>
      <c r="AU147" s="258">
        <f t="shared" si="71"/>
        <v>0</v>
      </c>
      <c r="AV147" s="89">
        <f t="shared" si="72"/>
        <v>0</v>
      </c>
      <c r="AW147" s="257">
        <f t="shared" si="58"/>
        <v>0</v>
      </c>
      <c r="AX147" s="79">
        <f t="shared" si="73"/>
        <v>0</v>
      </c>
      <c r="AY147" s="259">
        <f t="shared" si="74"/>
        <v>2838.9</v>
      </c>
      <c r="AZ147" s="79">
        <f t="shared" si="75"/>
        <v>3082.5</v>
      </c>
      <c r="BA147" s="680"/>
    </row>
    <row r="148" spans="1:53">
      <c r="A148" s="484" t="s">
        <v>503</v>
      </c>
      <c r="B148" s="281" t="s">
        <v>633</v>
      </c>
      <c r="C148" s="484">
        <v>138901</v>
      </c>
      <c r="D148" s="271">
        <v>10</v>
      </c>
      <c r="E148" s="148" t="s">
        <v>393</v>
      </c>
      <c r="F148" s="483" t="s">
        <v>393</v>
      </c>
      <c r="G148" s="78"/>
      <c r="H148" s="675"/>
      <c r="I148" s="78">
        <v>20845</v>
      </c>
      <c r="J148" s="688">
        <v>25125</v>
      </c>
      <c r="K148" s="78">
        <v>9182</v>
      </c>
      <c r="L148" s="688">
        <f>10406</f>
        <v>10406</v>
      </c>
      <c r="M148" s="78">
        <v>23644</v>
      </c>
      <c r="N148" s="688">
        <f>30323+0</f>
        <v>30323</v>
      </c>
      <c r="O148" s="256">
        <f t="shared" si="59"/>
        <v>53671</v>
      </c>
      <c r="P148" s="89">
        <f t="shared" si="60"/>
        <v>1789.0333333333333</v>
      </c>
      <c r="Q148" s="257">
        <f t="shared" si="61"/>
        <v>65854</v>
      </c>
      <c r="R148" s="79">
        <f t="shared" si="62"/>
        <v>2195.1333333333332</v>
      </c>
      <c r="S148" s="674">
        <v>225</v>
      </c>
      <c r="T148" s="673">
        <v>46</v>
      </c>
      <c r="U148" s="256">
        <f t="shared" si="63"/>
        <v>53671</v>
      </c>
      <c r="V148" s="434">
        <f t="shared" si="64"/>
        <v>65854</v>
      </c>
      <c r="W148" s="78"/>
      <c r="X148" s="675"/>
      <c r="Y148" s="78"/>
      <c r="Z148" s="675"/>
      <c r="AA148" s="78"/>
      <c r="AB148" s="675"/>
      <c r="AC148" s="78"/>
      <c r="AD148" s="675"/>
      <c r="AE148" s="256">
        <f t="shared" si="65"/>
        <v>0</v>
      </c>
      <c r="AF148" s="89">
        <f t="shared" si="66"/>
        <v>0</v>
      </c>
      <c r="AG148" s="257">
        <f t="shared" si="67"/>
        <v>0</v>
      </c>
      <c r="AH148" s="79">
        <f t="shared" si="68"/>
        <v>0</v>
      </c>
      <c r="AI148" s="78"/>
      <c r="AJ148" s="675"/>
      <c r="AK148" s="256">
        <f t="shared" si="69"/>
        <v>0</v>
      </c>
      <c r="AL148" s="434">
        <f t="shared" si="70"/>
        <v>0</v>
      </c>
      <c r="AM148" s="78"/>
      <c r="AN148" s="675"/>
      <c r="AO148" s="78"/>
      <c r="AP148" s="678"/>
      <c r="AQ148" s="78"/>
      <c r="AR148" s="678"/>
      <c r="AS148" s="78"/>
      <c r="AT148" s="678"/>
      <c r="AU148" s="258">
        <f t="shared" si="71"/>
        <v>0</v>
      </c>
      <c r="AV148" s="89">
        <f t="shared" si="72"/>
        <v>0</v>
      </c>
      <c r="AW148" s="257">
        <f t="shared" si="58"/>
        <v>0</v>
      </c>
      <c r="AX148" s="79">
        <f t="shared" si="73"/>
        <v>0</v>
      </c>
      <c r="AY148" s="259">
        <f t="shared" si="74"/>
        <v>1789.0333333333333</v>
      </c>
      <c r="AZ148" s="79">
        <f t="shared" si="75"/>
        <v>2195.1333333333332</v>
      </c>
      <c r="BA148" s="680"/>
    </row>
    <row r="149" spans="1:53">
      <c r="A149" s="484" t="s">
        <v>503</v>
      </c>
      <c r="B149" s="281" t="s">
        <v>635</v>
      </c>
      <c r="C149" s="484">
        <v>139621</v>
      </c>
      <c r="D149" s="271">
        <v>10</v>
      </c>
      <c r="E149" s="148" t="s">
        <v>393</v>
      </c>
      <c r="F149" s="483" t="s">
        <v>393</v>
      </c>
      <c r="G149" s="78"/>
      <c r="H149" s="675"/>
      <c r="I149" s="78">
        <v>22043</v>
      </c>
      <c r="J149" s="688">
        <v>28874</v>
      </c>
      <c r="K149" s="78">
        <v>5889</v>
      </c>
      <c r="L149" s="688">
        <v>6773</v>
      </c>
      <c r="M149" s="78">
        <v>29401</v>
      </c>
      <c r="N149" s="688">
        <v>31818</v>
      </c>
      <c r="O149" s="256">
        <f t="shared" si="59"/>
        <v>57333</v>
      </c>
      <c r="P149" s="89">
        <f t="shared" si="60"/>
        <v>1911.1</v>
      </c>
      <c r="Q149" s="257">
        <f t="shared" si="61"/>
        <v>67465</v>
      </c>
      <c r="R149" s="79">
        <f t="shared" si="62"/>
        <v>2248.8333333333335</v>
      </c>
      <c r="S149" s="674">
        <v>311</v>
      </c>
      <c r="T149" s="689">
        <v>337</v>
      </c>
      <c r="U149" s="256">
        <f t="shared" si="63"/>
        <v>57333</v>
      </c>
      <c r="V149" s="434">
        <f t="shared" si="64"/>
        <v>67465</v>
      </c>
      <c r="W149" s="78"/>
      <c r="X149" s="675"/>
      <c r="Y149" s="78"/>
      <c r="Z149" s="675"/>
      <c r="AA149" s="78"/>
      <c r="AB149" s="675"/>
      <c r="AC149" s="78"/>
      <c r="AD149" s="675"/>
      <c r="AE149" s="256">
        <f t="shared" si="65"/>
        <v>0</v>
      </c>
      <c r="AF149" s="89">
        <f t="shared" si="66"/>
        <v>0</v>
      </c>
      <c r="AG149" s="257">
        <f t="shared" si="67"/>
        <v>0</v>
      </c>
      <c r="AH149" s="79">
        <f t="shared" si="68"/>
        <v>0</v>
      </c>
      <c r="AI149" s="78"/>
      <c r="AJ149" s="675"/>
      <c r="AK149" s="256">
        <f t="shared" si="69"/>
        <v>0</v>
      </c>
      <c r="AL149" s="434">
        <f t="shared" si="70"/>
        <v>0</v>
      </c>
      <c r="AM149" s="78"/>
      <c r="AN149" s="675"/>
      <c r="AO149" s="78"/>
      <c r="AP149" s="678"/>
      <c r="AQ149" s="78"/>
      <c r="AR149" s="678"/>
      <c r="AS149" s="78"/>
      <c r="AT149" s="678"/>
      <c r="AU149" s="258">
        <f t="shared" si="71"/>
        <v>0</v>
      </c>
      <c r="AV149" s="89">
        <f t="shared" si="72"/>
        <v>0</v>
      </c>
      <c r="AW149" s="257">
        <f t="shared" si="58"/>
        <v>0</v>
      </c>
      <c r="AX149" s="79">
        <f t="shared" si="73"/>
        <v>0</v>
      </c>
      <c r="AY149" s="259">
        <f t="shared" si="74"/>
        <v>1911.1</v>
      </c>
      <c r="AZ149" s="79">
        <f t="shared" si="75"/>
        <v>2248.8333333333335</v>
      </c>
      <c r="BA149" s="680"/>
    </row>
    <row r="150" spans="1:53">
      <c r="A150" s="484" t="s">
        <v>503</v>
      </c>
      <c r="B150" s="281" t="s">
        <v>636</v>
      </c>
      <c r="C150" s="484">
        <v>140997</v>
      </c>
      <c r="D150" s="271">
        <v>10</v>
      </c>
      <c r="E150" s="148" t="s">
        <v>393</v>
      </c>
      <c r="F150" s="483" t="s">
        <v>393</v>
      </c>
      <c r="G150" s="78"/>
      <c r="H150" s="675"/>
      <c r="I150" s="78">
        <v>19237</v>
      </c>
      <c r="J150" s="688">
        <v>20376</v>
      </c>
      <c r="K150" s="78">
        <v>5053</v>
      </c>
      <c r="L150" s="688">
        <v>5898</v>
      </c>
      <c r="M150" s="78">
        <v>22140</v>
      </c>
      <c r="N150" s="688">
        <v>24196</v>
      </c>
      <c r="O150" s="256">
        <f t="shared" si="59"/>
        <v>46430</v>
      </c>
      <c r="P150" s="89">
        <f t="shared" si="60"/>
        <v>1547.6666666666667</v>
      </c>
      <c r="Q150" s="257">
        <f t="shared" si="61"/>
        <v>50470</v>
      </c>
      <c r="R150" s="79">
        <f t="shared" si="62"/>
        <v>1682.3333333333333</v>
      </c>
      <c r="S150" s="674">
        <v>363</v>
      </c>
      <c r="T150" s="673">
        <v>262</v>
      </c>
      <c r="U150" s="256">
        <f t="shared" si="63"/>
        <v>46430</v>
      </c>
      <c r="V150" s="434">
        <f t="shared" si="64"/>
        <v>50470</v>
      </c>
      <c r="W150" s="78"/>
      <c r="X150" s="675"/>
      <c r="Y150" s="78"/>
      <c r="Z150" s="675"/>
      <c r="AA150" s="78"/>
      <c r="AB150" s="675"/>
      <c r="AC150" s="78"/>
      <c r="AD150" s="675"/>
      <c r="AE150" s="256">
        <f t="shared" si="65"/>
        <v>0</v>
      </c>
      <c r="AF150" s="89">
        <f t="shared" si="66"/>
        <v>0</v>
      </c>
      <c r="AG150" s="257">
        <f t="shared" si="67"/>
        <v>0</v>
      </c>
      <c r="AH150" s="79">
        <f t="shared" si="68"/>
        <v>0</v>
      </c>
      <c r="AI150" s="78"/>
      <c r="AJ150" s="675"/>
      <c r="AK150" s="256">
        <f t="shared" si="69"/>
        <v>0</v>
      </c>
      <c r="AL150" s="434">
        <f t="shared" si="70"/>
        <v>0</v>
      </c>
      <c r="AM150" s="78"/>
      <c r="AN150" s="675"/>
      <c r="AO150" s="78"/>
      <c r="AP150" s="678"/>
      <c r="AQ150" s="78"/>
      <c r="AR150" s="678"/>
      <c r="AS150" s="78"/>
      <c r="AT150" s="678"/>
      <c r="AU150" s="258">
        <f t="shared" si="71"/>
        <v>0</v>
      </c>
      <c r="AV150" s="89">
        <f t="shared" si="72"/>
        <v>0</v>
      </c>
      <c r="AW150" s="257">
        <f t="shared" si="58"/>
        <v>0</v>
      </c>
      <c r="AX150" s="79">
        <f t="shared" si="73"/>
        <v>0</v>
      </c>
      <c r="AY150" s="259">
        <f t="shared" si="74"/>
        <v>1547.6666666666667</v>
      </c>
      <c r="AZ150" s="79">
        <f t="shared" si="75"/>
        <v>1682.3333333333333</v>
      </c>
      <c r="BA150" s="680"/>
    </row>
    <row r="151" spans="1:53">
      <c r="A151" s="484" t="s">
        <v>503</v>
      </c>
      <c r="B151" s="281" t="s">
        <v>637</v>
      </c>
      <c r="C151" s="484">
        <v>141307</v>
      </c>
      <c r="D151" s="271">
        <v>10</v>
      </c>
      <c r="E151" s="148" t="s">
        <v>393</v>
      </c>
      <c r="F151" s="483" t="s">
        <v>393</v>
      </c>
      <c r="G151" s="78"/>
      <c r="H151" s="675"/>
      <c r="I151" s="78">
        <v>8119</v>
      </c>
      <c r="J151" s="688">
        <v>8944</v>
      </c>
      <c r="K151" s="78">
        <v>2632</v>
      </c>
      <c r="L151" s="688">
        <v>3658</v>
      </c>
      <c r="M151" s="78">
        <v>8948</v>
      </c>
      <c r="N151" s="688">
        <v>10694</v>
      </c>
      <c r="O151" s="256">
        <f t="shared" si="59"/>
        <v>19699</v>
      </c>
      <c r="P151" s="89">
        <f t="shared" si="60"/>
        <v>656.63333333333333</v>
      </c>
      <c r="Q151" s="257">
        <f t="shared" si="61"/>
        <v>23296</v>
      </c>
      <c r="R151" s="79">
        <f t="shared" si="62"/>
        <v>776.5333333333333</v>
      </c>
      <c r="S151" s="674">
        <v>544</v>
      </c>
      <c r="T151" s="673">
        <v>887</v>
      </c>
      <c r="U151" s="256">
        <f t="shared" si="63"/>
        <v>19699</v>
      </c>
      <c r="V151" s="434">
        <f t="shared" si="64"/>
        <v>23296</v>
      </c>
      <c r="W151" s="78"/>
      <c r="X151" s="675"/>
      <c r="Y151" s="78"/>
      <c r="Z151" s="675"/>
      <c r="AA151" s="78"/>
      <c r="AB151" s="675"/>
      <c r="AC151" s="78"/>
      <c r="AD151" s="675"/>
      <c r="AE151" s="256">
        <f t="shared" si="65"/>
        <v>0</v>
      </c>
      <c r="AF151" s="89">
        <f t="shared" si="66"/>
        <v>0</v>
      </c>
      <c r="AG151" s="257">
        <f t="shared" si="67"/>
        <v>0</v>
      </c>
      <c r="AH151" s="79">
        <f t="shared" si="68"/>
        <v>0</v>
      </c>
      <c r="AI151" s="78"/>
      <c r="AJ151" s="675"/>
      <c r="AK151" s="256">
        <f t="shared" si="69"/>
        <v>0</v>
      </c>
      <c r="AL151" s="434">
        <f t="shared" si="70"/>
        <v>0</v>
      </c>
      <c r="AM151" s="78"/>
      <c r="AN151" s="675"/>
      <c r="AO151" s="78"/>
      <c r="AP151" s="678"/>
      <c r="AQ151" s="78"/>
      <c r="AR151" s="678"/>
      <c r="AS151" s="78"/>
      <c r="AT151" s="678"/>
      <c r="AU151" s="258">
        <f t="shared" si="71"/>
        <v>0</v>
      </c>
      <c r="AV151" s="89">
        <f t="shared" si="72"/>
        <v>0</v>
      </c>
      <c r="AW151" s="257">
        <f t="shared" si="58"/>
        <v>0</v>
      </c>
      <c r="AX151" s="79">
        <f t="shared" si="73"/>
        <v>0</v>
      </c>
      <c r="AY151" s="259">
        <f t="shared" si="74"/>
        <v>656.63333333333333</v>
      </c>
      <c r="AZ151" s="79">
        <f t="shared" si="75"/>
        <v>776.5333333333333</v>
      </c>
      <c r="BA151" s="680"/>
    </row>
    <row r="152" spans="1:53">
      <c r="A152" s="484" t="s">
        <v>503</v>
      </c>
      <c r="B152" s="281" t="s">
        <v>378</v>
      </c>
      <c r="C152" s="484">
        <v>447689</v>
      </c>
      <c r="D152" s="271">
        <v>15</v>
      </c>
      <c r="E152" s="148" t="s">
        <v>393</v>
      </c>
      <c r="F152" s="483" t="s">
        <v>393</v>
      </c>
      <c r="G152" s="78"/>
      <c r="H152" s="675"/>
      <c r="I152" s="78">
        <v>10164</v>
      </c>
      <c r="J152" s="678">
        <f>15583+2785</f>
        <v>18368</v>
      </c>
      <c r="K152" s="78">
        <v>2665</v>
      </c>
      <c r="L152" s="678">
        <f>4172+1222</f>
        <v>5394</v>
      </c>
      <c r="M152" s="78">
        <v>18150</v>
      </c>
      <c r="N152" s="678">
        <f>30118+4287</f>
        <v>34405</v>
      </c>
      <c r="O152" s="256">
        <f t="shared" si="59"/>
        <v>30979</v>
      </c>
      <c r="P152" s="89">
        <f t="shared" si="60"/>
        <v>1032.6333333333334</v>
      </c>
      <c r="Q152" s="257">
        <f t="shared" si="61"/>
        <v>58167</v>
      </c>
      <c r="R152" s="79">
        <f>+Q152/30</f>
        <v>1938.9</v>
      </c>
      <c r="S152" s="674"/>
      <c r="T152" s="673">
        <v>458</v>
      </c>
      <c r="U152" s="256">
        <f t="shared" ref="U152:U189" si="76">IF(OR(ISBLANK(S152),(S152="—")),0,O152)</f>
        <v>0</v>
      </c>
      <c r="V152" s="434">
        <f t="shared" ref="V152:V189" si="77">IF(OR(ISBLANK(T152),(T152="—")),0,Q152)</f>
        <v>58167</v>
      </c>
      <c r="W152" s="78"/>
      <c r="X152" s="675"/>
      <c r="Y152" s="78"/>
      <c r="Z152" s="675"/>
      <c r="AA152" s="78"/>
      <c r="AB152" s="675"/>
      <c r="AC152" s="78"/>
      <c r="AD152" s="675"/>
      <c r="AE152" s="256">
        <f t="shared" si="65"/>
        <v>0</v>
      </c>
      <c r="AF152" s="89">
        <f>+AE152/900</f>
        <v>0</v>
      </c>
      <c r="AG152" s="257">
        <f t="shared" si="67"/>
        <v>0</v>
      </c>
      <c r="AH152" s="79">
        <f>+AG152/900</f>
        <v>0</v>
      </c>
      <c r="AI152" s="78"/>
      <c r="AJ152" s="675"/>
      <c r="AK152" s="256">
        <f t="shared" si="69"/>
        <v>0</v>
      </c>
      <c r="AL152" s="434">
        <f t="shared" si="70"/>
        <v>0</v>
      </c>
      <c r="AM152" s="78"/>
      <c r="AN152" s="675"/>
      <c r="AO152" s="78"/>
      <c r="AP152" s="678"/>
      <c r="AQ152" s="78"/>
      <c r="AR152" s="678"/>
      <c r="AS152" s="78"/>
      <c r="AT152" s="678"/>
      <c r="AU152" s="258">
        <f t="shared" ref="AU152:AU181" si="78">SUM(AM152,AO152,AQ152,AS152)</f>
        <v>0</v>
      </c>
      <c r="AV152" s="89">
        <f t="shared" ref="AV152:AV181" si="79">+AU152/24</f>
        <v>0</v>
      </c>
      <c r="AW152" s="257">
        <f t="shared" ref="AW152:AW181" si="80">SUM(AN152,AP152,AR152,AT152)</f>
        <v>0</v>
      </c>
      <c r="AX152" s="79">
        <f t="shared" ref="AX152:AX181" si="81">+AW152/24</f>
        <v>0</v>
      </c>
      <c r="AY152" s="259">
        <f t="shared" ref="AY152:AY181" si="82">SUM(P152,AF152,AV152)</f>
        <v>1032.6333333333334</v>
      </c>
      <c r="AZ152" s="79">
        <f t="shared" ref="AZ152:AZ181" si="83">SUM(R152,AH152,AX152)</f>
        <v>1938.9</v>
      </c>
      <c r="BA152" s="680"/>
    </row>
    <row r="153" spans="1:53">
      <c r="A153" s="293" t="s">
        <v>503</v>
      </c>
      <c r="B153" s="294" t="s">
        <v>504</v>
      </c>
      <c r="C153" s="293">
        <v>138682</v>
      </c>
      <c r="D153" s="269">
        <v>12</v>
      </c>
      <c r="E153" s="486" t="s">
        <v>505</v>
      </c>
      <c r="F153" s="149" t="s">
        <v>475</v>
      </c>
      <c r="G153" s="78">
        <v>30723</v>
      </c>
      <c r="H153" s="675">
        <v>34661</v>
      </c>
      <c r="I153" s="78">
        <v>30296</v>
      </c>
      <c r="J153" s="675">
        <v>36454</v>
      </c>
      <c r="K153" s="78">
        <v>25771</v>
      </c>
      <c r="L153" s="675">
        <v>36751</v>
      </c>
      <c r="M153" s="78">
        <v>35841</v>
      </c>
      <c r="N153" s="675">
        <v>49467</v>
      </c>
      <c r="O153" s="256">
        <f t="shared" ref="O153:O187" si="84">SUM(G153,I153,K153,M153)</f>
        <v>122631</v>
      </c>
      <c r="P153" s="89">
        <f>+O153/45</f>
        <v>2725.1333333333332</v>
      </c>
      <c r="Q153" s="257">
        <f t="shared" ref="Q153:Q187" si="85">SUM(H153,J153,L153,N153)</f>
        <v>157333</v>
      </c>
      <c r="R153" s="79">
        <f>+Q153/45</f>
        <v>3496.2888888888888</v>
      </c>
      <c r="S153" s="674">
        <v>772</v>
      </c>
      <c r="T153" s="690">
        <v>609</v>
      </c>
      <c r="U153" s="256">
        <f t="shared" si="76"/>
        <v>122631</v>
      </c>
      <c r="V153" s="434">
        <f t="shared" si="77"/>
        <v>157333</v>
      </c>
      <c r="W153" s="78"/>
      <c r="X153" s="675"/>
      <c r="Y153" s="78"/>
      <c r="Z153" s="675"/>
      <c r="AA153" s="78"/>
      <c r="AB153" s="675"/>
      <c r="AC153" s="78"/>
      <c r="AD153" s="675"/>
      <c r="AE153" s="256">
        <f t="shared" ref="AE153:AE182" si="86">SUM(W153,Y153,AA153,AC153)</f>
        <v>0</v>
      </c>
      <c r="AF153" s="89">
        <f t="shared" ref="AF153:AF182" si="87">+AE153/900</f>
        <v>0</v>
      </c>
      <c r="AG153" s="257">
        <f t="shared" ref="AG153:AG182" si="88">SUM(X153,Z153,AB153,AD153)</f>
        <v>0</v>
      </c>
      <c r="AH153" s="79">
        <f t="shared" ref="AH153:AH182" si="89">+AG153/900</f>
        <v>0</v>
      </c>
      <c r="AI153" s="78"/>
      <c r="AJ153" s="675"/>
      <c r="AK153" s="256">
        <f t="shared" ref="AK153:AK185" si="90">IF(OR(ISBLANK(AI153),(AI153="—")),0,AE153)</f>
        <v>0</v>
      </c>
      <c r="AL153" s="434">
        <f t="shared" ref="AL153:AL185" si="91">IF(OR(ISBLANK(AJ153),(AJ153="—")),0,AG153)</f>
        <v>0</v>
      </c>
      <c r="AM153" s="78"/>
      <c r="AN153" s="675"/>
      <c r="AO153" s="78"/>
      <c r="AP153" s="675"/>
      <c r="AQ153" s="78"/>
      <c r="AR153" s="675"/>
      <c r="AS153" s="78"/>
      <c r="AT153" s="675"/>
      <c r="AU153" s="258">
        <f t="shared" si="78"/>
        <v>0</v>
      </c>
      <c r="AV153" s="89">
        <f t="shared" si="79"/>
        <v>0</v>
      </c>
      <c r="AW153" s="257">
        <f t="shared" si="80"/>
        <v>0</v>
      </c>
      <c r="AX153" s="79">
        <f t="shared" si="81"/>
        <v>0</v>
      </c>
      <c r="AY153" s="259">
        <f t="shared" si="82"/>
        <v>2725.1333333333332</v>
      </c>
      <c r="AZ153" s="79">
        <f t="shared" si="83"/>
        <v>3496.2888888888888</v>
      </c>
      <c r="BA153" s="680"/>
    </row>
    <row r="154" spans="1:53">
      <c r="A154" s="293" t="s">
        <v>503</v>
      </c>
      <c r="B154" s="294" t="s">
        <v>507</v>
      </c>
      <c r="C154" s="293">
        <v>246813</v>
      </c>
      <c r="D154" s="269">
        <v>12</v>
      </c>
      <c r="E154" s="486" t="s">
        <v>505</v>
      </c>
      <c r="F154" s="149" t="s">
        <v>475</v>
      </c>
      <c r="G154" s="78">
        <v>37721</v>
      </c>
      <c r="H154" s="675">
        <v>39603</v>
      </c>
      <c r="I154" s="78">
        <v>34707</v>
      </c>
      <c r="J154" s="675">
        <v>38367</v>
      </c>
      <c r="K154" s="78">
        <v>19584</v>
      </c>
      <c r="L154" s="675">
        <v>24731</v>
      </c>
      <c r="M154" s="78">
        <v>41236</v>
      </c>
      <c r="N154" s="675">
        <v>52419</v>
      </c>
      <c r="O154" s="256">
        <f t="shared" si="84"/>
        <v>133248</v>
      </c>
      <c r="P154" s="89">
        <f t="shared" ref="P154:P180" si="92">+O154/45</f>
        <v>2961.0666666666666</v>
      </c>
      <c r="Q154" s="257">
        <f t="shared" si="85"/>
        <v>155120</v>
      </c>
      <c r="R154" s="79">
        <f t="shared" ref="R154:R180" si="93">+Q154/45</f>
        <v>3447.1111111111113</v>
      </c>
      <c r="S154" s="674">
        <v>2034</v>
      </c>
      <c r="T154" s="690">
        <v>1291</v>
      </c>
      <c r="U154" s="256">
        <f t="shared" si="76"/>
        <v>133248</v>
      </c>
      <c r="V154" s="434">
        <f t="shared" si="77"/>
        <v>155120</v>
      </c>
      <c r="W154" s="78"/>
      <c r="X154" s="675"/>
      <c r="Y154" s="78"/>
      <c r="Z154" s="675"/>
      <c r="AA154" s="78"/>
      <c r="AB154" s="675"/>
      <c r="AC154" s="78"/>
      <c r="AD154" s="675"/>
      <c r="AE154" s="256">
        <f t="shared" si="86"/>
        <v>0</v>
      </c>
      <c r="AF154" s="89">
        <f t="shared" si="87"/>
        <v>0</v>
      </c>
      <c r="AG154" s="257">
        <f t="shared" si="88"/>
        <v>0</v>
      </c>
      <c r="AH154" s="79">
        <f t="shared" si="89"/>
        <v>0</v>
      </c>
      <c r="AI154" s="78"/>
      <c r="AJ154" s="675"/>
      <c r="AK154" s="256">
        <f t="shared" si="90"/>
        <v>0</v>
      </c>
      <c r="AL154" s="434">
        <f t="shared" si="91"/>
        <v>0</v>
      </c>
      <c r="AM154" s="78"/>
      <c r="AN154" s="675"/>
      <c r="AO154" s="78"/>
      <c r="AP154" s="675"/>
      <c r="AQ154" s="78"/>
      <c r="AR154" s="675"/>
      <c r="AS154" s="78"/>
      <c r="AT154" s="675"/>
      <c r="AU154" s="258">
        <f t="shared" si="78"/>
        <v>0</v>
      </c>
      <c r="AV154" s="89">
        <f t="shared" si="79"/>
        <v>0</v>
      </c>
      <c r="AW154" s="257">
        <f t="shared" si="80"/>
        <v>0</v>
      </c>
      <c r="AX154" s="79">
        <f t="shared" si="81"/>
        <v>0</v>
      </c>
      <c r="AY154" s="259">
        <f t="shared" si="82"/>
        <v>2961.0666666666666</v>
      </c>
      <c r="AZ154" s="79">
        <f t="shared" si="83"/>
        <v>3447.1111111111113</v>
      </c>
      <c r="BA154" s="680"/>
    </row>
    <row r="155" spans="1:53">
      <c r="A155" s="293" t="s">
        <v>503</v>
      </c>
      <c r="B155" s="294" t="s">
        <v>508</v>
      </c>
      <c r="C155" s="293">
        <v>138840</v>
      </c>
      <c r="D155" s="269">
        <v>12</v>
      </c>
      <c r="E155" s="486" t="s">
        <v>505</v>
      </c>
      <c r="F155" s="149" t="s">
        <v>475</v>
      </c>
      <c r="G155" s="78">
        <v>36958</v>
      </c>
      <c r="H155" s="675">
        <v>37598</v>
      </c>
      <c r="I155" s="78">
        <v>35226</v>
      </c>
      <c r="J155" s="675">
        <v>42235</v>
      </c>
      <c r="K155" s="78">
        <v>28404</v>
      </c>
      <c r="L155" s="675">
        <v>39492</v>
      </c>
      <c r="M155" s="78">
        <v>36532</v>
      </c>
      <c r="N155" s="675">
        <v>53336</v>
      </c>
      <c r="O155" s="256">
        <f t="shared" si="84"/>
        <v>137120</v>
      </c>
      <c r="P155" s="89">
        <f t="shared" si="92"/>
        <v>3047.1111111111113</v>
      </c>
      <c r="Q155" s="257">
        <f t="shared" si="85"/>
        <v>172661</v>
      </c>
      <c r="R155" s="79">
        <f t="shared" si="93"/>
        <v>3836.911111111111</v>
      </c>
      <c r="S155" s="674">
        <v>2104</v>
      </c>
      <c r="T155" s="690">
        <v>2854</v>
      </c>
      <c r="U155" s="256">
        <f t="shared" si="76"/>
        <v>137120</v>
      </c>
      <c r="V155" s="434">
        <f t="shared" si="77"/>
        <v>172661</v>
      </c>
      <c r="W155" s="78"/>
      <c r="X155" s="675"/>
      <c r="Y155" s="78"/>
      <c r="Z155" s="675"/>
      <c r="AA155" s="78"/>
      <c r="AB155" s="675"/>
      <c r="AC155" s="78"/>
      <c r="AD155" s="675"/>
      <c r="AE155" s="256">
        <f t="shared" si="86"/>
        <v>0</v>
      </c>
      <c r="AF155" s="89">
        <f t="shared" si="87"/>
        <v>0</v>
      </c>
      <c r="AG155" s="257">
        <f t="shared" si="88"/>
        <v>0</v>
      </c>
      <c r="AH155" s="79">
        <f t="shared" si="89"/>
        <v>0</v>
      </c>
      <c r="AI155" s="78"/>
      <c r="AJ155" s="675"/>
      <c r="AK155" s="256">
        <f t="shared" si="90"/>
        <v>0</v>
      </c>
      <c r="AL155" s="434">
        <f t="shared" si="91"/>
        <v>0</v>
      </c>
      <c r="AM155" s="78"/>
      <c r="AN155" s="675"/>
      <c r="AO155" s="78"/>
      <c r="AP155" s="675"/>
      <c r="AQ155" s="78"/>
      <c r="AR155" s="675"/>
      <c r="AS155" s="78"/>
      <c r="AT155" s="675"/>
      <c r="AU155" s="258">
        <f t="shared" si="78"/>
        <v>0</v>
      </c>
      <c r="AV155" s="89">
        <f t="shared" si="79"/>
        <v>0</v>
      </c>
      <c r="AW155" s="257">
        <f t="shared" si="80"/>
        <v>0</v>
      </c>
      <c r="AX155" s="79">
        <f t="shared" si="81"/>
        <v>0</v>
      </c>
      <c r="AY155" s="259">
        <f t="shared" si="82"/>
        <v>3047.1111111111113</v>
      </c>
      <c r="AZ155" s="79">
        <f t="shared" si="83"/>
        <v>3836.911111111111</v>
      </c>
      <c r="BA155" s="680"/>
    </row>
    <row r="156" spans="1:53">
      <c r="A156" s="293" t="s">
        <v>503</v>
      </c>
      <c r="B156" s="294" t="s">
        <v>509</v>
      </c>
      <c r="C156" s="293">
        <v>138956</v>
      </c>
      <c r="D156" s="269">
        <v>12</v>
      </c>
      <c r="E156" s="486" t="s">
        <v>505</v>
      </c>
      <c r="F156" s="149" t="s">
        <v>475</v>
      </c>
      <c r="G156" s="78">
        <v>46224</v>
      </c>
      <c r="H156" s="675">
        <v>46433</v>
      </c>
      <c r="I156" s="78">
        <v>43305</v>
      </c>
      <c r="J156" s="675">
        <v>45499</v>
      </c>
      <c r="K156" s="78">
        <v>33391</v>
      </c>
      <c r="L156" s="675">
        <v>36450</v>
      </c>
      <c r="M156" s="78">
        <v>51563</v>
      </c>
      <c r="N156" s="675">
        <v>54892</v>
      </c>
      <c r="O156" s="256">
        <f t="shared" si="84"/>
        <v>174483</v>
      </c>
      <c r="P156" s="89">
        <f t="shared" si="92"/>
        <v>3877.4</v>
      </c>
      <c r="Q156" s="257">
        <f t="shared" si="85"/>
        <v>183274</v>
      </c>
      <c r="R156" s="79">
        <f t="shared" si="93"/>
        <v>4072.7555555555555</v>
      </c>
      <c r="S156" s="78">
        <v>1651</v>
      </c>
      <c r="T156" s="690">
        <v>1111</v>
      </c>
      <c r="U156" s="256">
        <f t="shared" si="76"/>
        <v>174483</v>
      </c>
      <c r="V156" s="434">
        <f t="shared" si="77"/>
        <v>183274</v>
      </c>
      <c r="W156" s="78"/>
      <c r="X156" s="675"/>
      <c r="Y156" s="78"/>
      <c r="Z156" s="675"/>
      <c r="AA156" s="78"/>
      <c r="AB156" s="675"/>
      <c r="AC156" s="78"/>
      <c r="AD156" s="675"/>
      <c r="AE156" s="256">
        <f t="shared" si="86"/>
        <v>0</v>
      </c>
      <c r="AF156" s="89">
        <f t="shared" si="87"/>
        <v>0</v>
      </c>
      <c r="AG156" s="257">
        <f t="shared" si="88"/>
        <v>0</v>
      </c>
      <c r="AH156" s="79">
        <f t="shared" si="89"/>
        <v>0</v>
      </c>
      <c r="AI156" s="78"/>
      <c r="AJ156" s="675"/>
      <c r="AK156" s="256">
        <f t="shared" si="90"/>
        <v>0</v>
      </c>
      <c r="AL156" s="434">
        <f t="shared" si="91"/>
        <v>0</v>
      </c>
      <c r="AM156" s="78"/>
      <c r="AN156" s="675"/>
      <c r="AO156" s="78"/>
      <c r="AP156" s="675"/>
      <c r="AQ156" s="78"/>
      <c r="AR156" s="675"/>
      <c r="AS156" s="78"/>
      <c r="AT156" s="675"/>
      <c r="AU156" s="258">
        <f t="shared" si="78"/>
        <v>0</v>
      </c>
      <c r="AV156" s="89">
        <f t="shared" si="79"/>
        <v>0</v>
      </c>
      <c r="AW156" s="257">
        <f t="shared" si="80"/>
        <v>0</v>
      </c>
      <c r="AX156" s="79">
        <f t="shared" si="81"/>
        <v>0</v>
      </c>
      <c r="AY156" s="259">
        <f t="shared" si="82"/>
        <v>3877.4</v>
      </c>
      <c r="AZ156" s="79">
        <f t="shared" si="83"/>
        <v>4072.7555555555555</v>
      </c>
      <c r="BA156" s="680"/>
    </row>
    <row r="157" spans="1:53">
      <c r="A157" s="293" t="s">
        <v>503</v>
      </c>
      <c r="B157" s="294" t="s">
        <v>510</v>
      </c>
      <c r="C157" s="293">
        <v>140304</v>
      </c>
      <c r="D157" s="269">
        <v>12</v>
      </c>
      <c r="E157" s="486" t="s">
        <v>505</v>
      </c>
      <c r="F157" s="149" t="s">
        <v>475</v>
      </c>
      <c r="G157" s="78">
        <v>51449</v>
      </c>
      <c r="H157" s="675">
        <v>60780</v>
      </c>
      <c r="I157" s="78">
        <v>47131</v>
      </c>
      <c r="J157" s="675">
        <v>61231</v>
      </c>
      <c r="K157" s="78">
        <v>40738</v>
      </c>
      <c r="L157" s="675">
        <v>53249</v>
      </c>
      <c r="M157" s="78">
        <v>58962</v>
      </c>
      <c r="N157" s="675">
        <v>77433</v>
      </c>
      <c r="O157" s="256">
        <f t="shared" si="84"/>
        <v>198280</v>
      </c>
      <c r="P157" s="89">
        <f t="shared" si="92"/>
        <v>4406.2222222222226</v>
      </c>
      <c r="Q157" s="257">
        <f t="shared" si="85"/>
        <v>252693</v>
      </c>
      <c r="R157" s="79">
        <f t="shared" si="93"/>
        <v>5615.4</v>
      </c>
      <c r="S157" s="78">
        <v>3520</v>
      </c>
      <c r="T157" s="690">
        <v>3806</v>
      </c>
      <c r="U157" s="256">
        <f t="shared" si="76"/>
        <v>198280</v>
      </c>
      <c r="V157" s="434">
        <f t="shared" si="77"/>
        <v>252693</v>
      </c>
      <c r="W157" s="78"/>
      <c r="X157" s="675"/>
      <c r="Y157" s="78"/>
      <c r="Z157" s="675"/>
      <c r="AA157" s="78"/>
      <c r="AB157" s="675"/>
      <c r="AC157" s="78"/>
      <c r="AD157" s="675"/>
      <c r="AE157" s="256">
        <f t="shared" si="86"/>
        <v>0</v>
      </c>
      <c r="AF157" s="89">
        <f t="shared" si="87"/>
        <v>0</v>
      </c>
      <c r="AG157" s="257">
        <f t="shared" si="88"/>
        <v>0</v>
      </c>
      <c r="AH157" s="79">
        <f t="shared" si="89"/>
        <v>0</v>
      </c>
      <c r="AI157" s="78"/>
      <c r="AJ157" s="675"/>
      <c r="AK157" s="256">
        <f t="shared" si="90"/>
        <v>0</v>
      </c>
      <c r="AL157" s="434">
        <f t="shared" si="91"/>
        <v>0</v>
      </c>
      <c r="AM157" s="78"/>
      <c r="AN157" s="675"/>
      <c r="AO157" s="78"/>
      <c r="AP157" s="675"/>
      <c r="AQ157" s="78"/>
      <c r="AR157" s="675"/>
      <c r="AS157" s="78"/>
      <c r="AT157" s="675"/>
      <c r="AU157" s="258">
        <f t="shared" si="78"/>
        <v>0</v>
      </c>
      <c r="AV157" s="89">
        <f t="shared" si="79"/>
        <v>0</v>
      </c>
      <c r="AW157" s="257">
        <f t="shared" si="80"/>
        <v>0</v>
      </c>
      <c r="AX157" s="79">
        <f t="shared" si="81"/>
        <v>0</v>
      </c>
      <c r="AY157" s="259">
        <f t="shared" si="82"/>
        <v>4406.2222222222226</v>
      </c>
      <c r="AZ157" s="79">
        <f t="shared" si="83"/>
        <v>5615.4</v>
      </c>
      <c r="BA157" s="680"/>
    </row>
    <row r="158" spans="1:53">
      <c r="A158" s="293" t="s">
        <v>503</v>
      </c>
      <c r="B158" s="294" t="s">
        <v>511</v>
      </c>
      <c r="C158" s="293">
        <v>140331</v>
      </c>
      <c r="D158" s="269">
        <v>12</v>
      </c>
      <c r="E158" s="486" t="s">
        <v>505</v>
      </c>
      <c r="F158" s="149" t="s">
        <v>475</v>
      </c>
      <c r="G158" s="78">
        <v>84548</v>
      </c>
      <c r="H158" s="675">
        <v>95125</v>
      </c>
      <c r="I158" s="78">
        <v>84279</v>
      </c>
      <c r="J158" s="675">
        <v>94591</v>
      </c>
      <c r="K158" s="78">
        <v>56404</v>
      </c>
      <c r="L158" s="675">
        <v>73900</v>
      </c>
      <c r="M158" s="78">
        <v>98964</v>
      </c>
      <c r="N158" s="675">
        <v>124065</v>
      </c>
      <c r="O158" s="256">
        <f t="shared" si="84"/>
        <v>324195</v>
      </c>
      <c r="P158" s="89">
        <f t="shared" si="92"/>
        <v>7204.333333333333</v>
      </c>
      <c r="Q158" s="257">
        <f t="shared" si="85"/>
        <v>387681</v>
      </c>
      <c r="R158" s="79">
        <f t="shared" si="93"/>
        <v>8615.1333333333332</v>
      </c>
      <c r="S158" s="78">
        <v>11864.8</v>
      </c>
      <c r="T158" s="690">
        <v>3279</v>
      </c>
      <c r="U158" s="256">
        <f t="shared" si="76"/>
        <v>324195</v>
      </c>
      <c r="V158" s="434">
        <f t="shared" si="77"/>
        <v>387681</v>
      </c>
      <c r="W158" s="78"/>
      <c r="X158" s="675"/>
      <c r="Y158" s="78"/>
      <c r="Z158" s="675"/>
      <c r="AA158" s="78"/>
      <c r="AB158" s="675"/>
      <c r="AC158" s="78"/>
      <c r="AD158" s="675"/>
      <c r="AE158" s="256">
        <f t="shared" si="86"/>
        <v>0</v>
      </c>
      <c r="AF158" s="89">
        <f t="shared" si="87"/>
        <v>0</v>
      </c>
      <c r="AG158" s="257">
        <f t="shared" si="88"/>
        <v>0</v>
      </c>
      <c r="AH158" s="79">
        <f t="shared" si="89"/>
        <v>0</v>
      </c>
      <c r="AI158" s="78"/>
      <c r="AJ158" s="675"/>
      <c r="AK158" s="256">
        <f t="shared" si="90"/>
        <v>0</v>
      </c>
      <c r="AL158" s="434">
        <f t="shared" si="91"/>
        <v>0</v>
      </c>
      <c r="AM158" s="78"/>
      <c r="AN158" s="675"/>
      <c r="AO158" s="78"/>
      <c r="AP158" s="675"/>
      <c r="AQ158" s="78"/>
      <c r="AR158" s="675"/>
      <c r="AS158" s="78"/>
      <c r="AT158" s="675"/>
      <c r="AU158" s="258">
        <f t="shared" si="78"/>
        <v>0</v>
      </c>
      <c r="AV158" s="89">
        <f t="shared" si="79"/>
        <v>0</v>
      </c>
      <c r="AW158" s="257">
        <f t="shared" si="80"/>
        <v>0</v>
      </c>
      <c r="AX158" s="79">
        <f t="shared" si="81"/>
        <v>0</v>
      </c>
      <c r="AY158" s="259">
        <f t="shared" si="82"/>
        <v>7204.333333333333</v>
      </c>
      <c r="AZ158" s="79">
        <f t="shared" si="83"/>
        <v>8615.1333333333332</v>
      </c>
      <c r="BA158" s="680"/>
    </row>
    <row r="159" spans="1:53">
      <c r="A159" s="293" t="s">
        <v>503</v>
      </c>
      <c r="B159" s="294" t="s">
        <v>512</v>
      </c>
      <c r="C159" s="293">
        <v>139357</v>
      </c>
      <c r="D159" s="269">
        <v>12</v>
      </c>
      <c r="E159" s="486" t="s">
        <v>505</v>
      </c>
      <c r="F159" s="149" t="s">
        <v>475</v>
      </c>
      <c r="G159" s="78">
        <v>34241</v>
      </c>
      <c r="H159" s="675">
        <v>35125</v>
      </c>
      <c r="I159" s="78">
        <v>32544</v>
      </c>
      <c r="J159" s="675">
        <v>34104</v>
      </c>
      <c r="K159" s="78">
        <v>28247</v>
      </c>
      <c r="L159" s="675">
        <v>28614</v>
      </c>
      <c r="M159" s="78">
        <v>37258</v>
      </c>
      <c r="N159" s="675">
        <v>42131</v>
      </c>
      <c r="O159" s="256">
        <f t="shared" si="84"/>
        <v>132290</v>
      </c>
      <c r="P159" s="89">
        <f t="shared" si="92"/>
        <v>2939.7777777777778</v>
      </c>
      <c r="Q159" s="257">
        <f t="shared" si="85"/>
        <v>139974</v>
      </c>
      <c r="R159" s="79">
        <f t="shared" si="93"/>
        <v>3110.5333333333333</v>
      </c>
      <c r="S159" s="78">
        <v>3100</v>
      </c>
      <c r="T159" s="690">
        <v>2339</v>
      </c>
      <c r="U159" s="256">
        <f t="shared" si="76"/>
        <v>132290</v>
      </c>
      <c r="V159" s="434">
        <f t="shared" si="77"/>
        <v>139974</v>
      </c>
      <c r="W159" s="78"/>
      <c r="X159" s="675"/>
      <c r="Y159" s="78"/>
      <c r="Z159" s="675"/>
      <c r="AA159" s="78"/>
      <c r="AB159" s="675"/>
      <c r="AC159" s="78"/>
      <c r="AD159" s="675"/>
      <c r="AE159" s="256">
        <f t="shared" si="86"/>
        <v>0</v>
      </c>
      <c r="AF159" s="89">
        <f t="shared" si="87"/>
        <v>0</v>
      </c>
      <c r="AG159" s="257">
        <f t="shared" si="88"/>
        <v>0</v>
      </c>
      <c r="AH159" s="79">
        <f t="shared" si="89"/>
        <v>0</v>
      </c>
      <c r="AI159" s="78"/>
      <c r="AJ159" s="675"/>
      <c r="AK159" s="256">
        <f t="shared" si="90"/>
        <v>0</v>
      </c>
      <c r="AL159" s="434">
        <f t="shared" si="91"/>
        <v>0</v>
      </c>
      <c r="AM159" s="78"/>
      <c r="AN159" s="675"/>
      <c r="AO159" s="78"/>
      <c r="AP159" s="675"/>
      <c r="AQ159" s="78"/>
      <c r="AR159" s="675"/>
      <c r="AS159" s="78"/>
      <c r="AT159" s="675"/>
      <c r="AU159" s="258">
        <f t="shared" si="78"/>
        <v>0</v>
      </c>
      <c r="AV159" s="89">
        <f t="shared" si="79"/>
        <v>0</v>
      </c>
      <c r="AW159" s="257">
        <f t="shared" si="80"/>
        <v>0</v>
      </c>
      <c r="AX159" s="79">
        <f t="shared" si="81"/>
        <v>0</v>
      </c>
      <c r="AY159" s="259">
        <f t="shared" si="82"/>
        <v>2939.7777777777778</v>
      </c>
      <c r="AZ159" s="79">
        <f t="shared" si="83"/>
        <v>3110.5333333333333</v>
      </c>
      <c r="BA159" s="680"/>
    </row>
    <row r="160" spans="1:53">
      <c r="A160" s="293" t="s">
        <v>503</v>
      </c>
      <c r="B160" s="294" t="s">
        <v>513</v>
      </c>
      <c r="C160" s="293">
        <v>244446</v>
      </c>
      <c r="D160" s="269">
        <v>12</v>
      </c>
      <c r="E160" s="486" t="s">
        <v>505</v>
      </c>
      <c r="F160" s="149" t="s">
        <v>475</v>
      </c>
      <c r="G160" s="78">
        <v>37223</v>
      </c>
      <c r="H160" s="675">
        <v>41937</v>
      </c>
      <c r="I160" s="78">
        <v>35850</v>
      </c>
      <c r="J160" s="675">
        <v>41882</v>
      </c>
      <c r="K160" s="78">
        <v>30239</v>
      </c>
      <c r="L160" s="675">
        <v>35943</v>
      </c>
      <c r="M160" s="78">
        <v>40825</v>
      </c>
      <c r="N160" s="675">
        <v>50354</v>
      </c>
      <c r="O160" s="256">
        <f t="shared" si="84"/>
        <v>144137</v>
      </c>
      <c r="P160" s="89">
        <f t="shared" si="92"/>
        <v>3203.0444444444443</v>
      </c>
      <c r="Q160" s="257">
        <f t="shared" si="85"/>
        <v>170116</v>
      </c>
      <c r="R160" s="79">
        <f t="shared" si="93"/>
        <v>3780.3555555555554</v>
      </c>
      <c r="S160" s="78">
        <v>3102.6</v>
      </c>
      <c r="T160" s="690">
        <v>1983.1</v>
      </c>
      <c r="U160" s="256">
        <f t="shared" si="76"/>
        <v>144137</v>
      </c>
      <c r="V160" s="434">
        <f t="shared" si="77"/>
        <v>170116</v>
      </c>
      <c r="W160" s="78"/>
      <c r="X160" s="675"/>
      <c r="Y160" s="78"/>
      <c r="Z160" s="675"/>
      <c r="AA160" s="78"/>
      <c r="AB160" s="675"/>
      <c r="AC160" s="78"/>
      <c r="AD160" s="675"/>
      <c r="AE160" s="256">
        <f t="shared" si="86"/>
        <v>0</v>
      </c>
      <c r="AF160" s="89">
        <f t="shared" si="87"/>
        <v>0</v>
      </c>
      <c r="AG160" s="257">
        <f t="shared" si="88"/>
        <v>0</v>
      </c>
      <c r="AH160" s="79">
        <f t="shared" si="89"/>
        <v>0</v>
      </c>
      <c r="AI160" s="78"/>
      <c r="AJ160" s="675"/>
      <c r="AK160" s="256">
        <f t="shared" si="90"/>
        <v>0</v>
      </c>
      <c r="AL160" s="434">
        <f t="shared" si="91"/>
        <v>0</v>
      </c>
      <c r="AM160" s="78"/>
      <c r="AN160" s="675"/>
      <c r="AO160" s="78"/>
      <c r="AP160" s="675"/>
      <c r="AQ160" s="78"/>
      <c r="AR160" s="675"/>
      <c r="AS160" s="78"/>
      <c r="AT160" s="675"/>
      <c r="AU160" s="258">
        <f t="shared" si="78"/>
        <v>0</v>
      </c>
      <c r="AV160" s="89">
        <f t="shared" si="79"/>
        <v>0</v>
      </c>
      <c r="AW160" s="257">
        <f t="shared" si="80"/>
        <v>0</v>
      </c>
      <c r="AX160" s="79">
        <f t="shared" si="81"/>
        <v>0</v>
      </c>
      <c r="AY160" s="259">
        <f t="shared" si="82"/>
        <v>3203.0444444444443</v>
      </c>
      <c r="AZ160" s="79">
        <f t="shared" si="83"/>
        <v>3780.3555555555554</v>
      </c>
      <c r="BA160" s="680"/>
    </row>
    <row r="161" spans="1:53">
      <c r="A161" s="293" t="s">
        <v>503</v>
      </c>
      <c r="B161" s="294" t="s">
        <v>514</v>
      </c>
      <c r="C161" s="293">
        <v>139126</v>
      </c>
      <c r="D161" s="269">
        <v>12</v>
      </c>
      <c r="E161" s="486" t="s">
        <v>505</v>
      </c>
      <c r="F161" s="149" t="s">
        <v>475</v>
      </c>
      <c r="G161" s="78">
        <v>12578</v>
      </c>
      <c r="H161" s="675">
        <v>14364</v>
      </c>
      <c r="I161" s="78">
        <v>11822</v>
      </c>
      <c r="J161" s="675">
        <v>14917</v>
      </c>
      <c r="K161" s="78">
        <v>10447</v>
      </c>
      <c r="L161" s="675">
        <v>15583</v>
      </c>
      <c r="M161" s="78">
        <v>15667</v>
      </c>
      <c r="N161" s="675">
        <v>20104</v>
      </c>
      <c r="O161" s="256">
        <f t="shared" si="84"/>
        <v>50514</v>
      </c>
      <c r="P161" s="89">
        <f t="shared" si="92"/>
        <v>1122.5333333333333</v>
      </c>
      <c r="Q161" s="257">
        <f t="shared" si="85"/>
        <v>64968</v>
      </c>
      <c r="R161" s="79">
        <f t="shared" si="93"/>
        <v>1443.7333333333333</v>
      </c>
      <c r="S161" s="78">
        <v>3560</v>
      </c>
      <c r="T161" s="690">
        <v>3501</v>
      </c>
      <c r="U161" s="256">
        <f t="shared" si="76"/>
        <v>50514</v>
      </c>
      <c r="V161" s="434">
        <f t="shared" si="77"/>
        <v>64968</v>
      </c>
      <c r="W161" s="78"/>
      <c r="X161" s="675"/>
      <c r="Y161" s="78"/>
      <c r="Z161" s="675"/>
      <c r="AA161" s="78"/>
      <c r="AB161" s="675"/>
      <c r="AC161" s="78"/>
      <c r="AD161" s="675"/>
      <c r="AE161" s="256">
        <f t="shared" si="86"/>
        <v>0</v>
      </c>
      <c r="AF161" s="89">
        <f t="shared" si="87"/>
        <v>0</v>
      </c>
      <c r="AG161" s="257">
        <f t="shared" si="88"/>
        <v>0</v>
      </c>
      <c r="AH161" s="79">
        <f t="shared" si="89"/>
        <v>0</v>
      </c>
      <c r="AI161" s="78"/>
      <c r="AJ161" s="675"/>
      <c r="AK161" s="256">
        <f t="shared" si="90"/>
        <v>0</v>
      </c>
      <c r="AL161" s="434">
        <f t="shared" si="91"/>
        <v>0</v>
      </c>
      <c r="AM161" s="78"/>
      <c r="AN161" s="675"/>
      <c r="AO161" s="78"/>
      <c r="AP161" s="675"/>
      <c r="AQ161" s="78"/>
      <c r="AR161" s="675"/>
      <c r="AS161" s="78"/>
      <c r="AT161" s="675"/>
      <c r="AU161" s="258">
        <f t="shared" si="78"/>
        <v>0</v>
      </c>
      <c r="AV161" s="89">
        <f t="shared" si="79"/>
        <v>0</v>
      </c>
      <c r="AW161" s="257">
        <f t="shared" si="80"/>
        <v>0</v>
      </c>
      <c r="AX161" s="79">
        <f t="shared" si="81"/>
        <v>0</v>
      </c>
      <c r="AY161" s="259">
        <f t="shared" si="82"/>
        <v>1122.5333333333333</v>
      </c>
      <c r="AZ161" s="79">
        <f t="shared" si="83"/>
        <v>1443.7333333333333</v>
      </c>
      <c r="BA161" s="680"/>
    </row>
    <row r="162" spans="1:53">
      <c r="A162" s="293" t="s">
        <v>503</v>
      </c>
      <c r="B162" s="294" t="s">
        <v>843</v>
      </c>
      <c r="C162" s="293">
        <v>139384</v>
      </c>
      <c r="D162" s="269">
        <v>12</v>
      </c>
      <c r="E162" s="486" t="s">
        <v>505</v>
      </c>
      <c r="F162" s="149" t="s">
        <v>475</v>
      </c>
      <c r="G162" s="78">
        <v>49103</v>
      </c>
      <c r="H162" s="675">
        <v>56622</v>
      </c>
      <c r="I162" s="78">
        <v>46420</v>
      </c>
      <c r="J162" s="675">
        <v>56851</v>
      </c>
      <c r="K162" s="78">
        <v>36829</v>
      </c>
      <c r="L162" s="675">
        <v>46043</v>
      </c>
      <c r="M162" s="78">
        <v>56390</v>
      </c>
      <c r="N162" s="675">
        <v>66836</v>
      </c>
      <c r="O162" s="256">
        <f t="shared" si="84"/>
        <v>188742</v>
      </c>
      <c r="P162" s="89">
        <f t="shared" si="92"/>
        <v>4194.2666666666664</v>
      </c>
      <c r="Q162" s="257">
        <f t="shared" si="85"/>
        <v>226352</v>
      </c>
      <c r="R162" s="79">
        <f t="shared" si="93"/>
        <v>5030.0444444444447</v>
      </c>
      <c r="S162" s="78">
        <v>4518</v>
      </c>
      <c r="T162" s="690">
        <v>5358</v>
      </c>
      <c r="U162" s="256">
        <f t="shared" si="76"/>
        <v>188742</v>
      </c>
      <c r="V162" s="434">
        <f t="shared" si="77"/>
        <v>226352</v>
      </c>
      <c r="W162" s="78"/>
      <c r="X162" s="675"/>
      <c r="Y162" s="78"/>
      <c r="Z162" s="675"/>
      <c r="AA162" s="78"/>
      <c r="AB162" s="675"/>
      <c r="AC162" s="78"/>
      <c r="AD162" s="675"/>
      <c r="AE162" s="256">
        <f t="shared" si="86"/>
        <v>0</v>
      </c>
      <c r="AF162" s="89">
        <f t="shared" si="87"/>
        <v>0</v>
      </c>
      <c r="AG162" s="257">
        <f t="shared" si="88"/>
        <v>0</v>
      </c>
      <c r="AH162" s="79">
        <f t="shared" si="89"/>
        <v>0</v>
      </c>
      <c r="AI162" s="78"/>
      <c r="AJ162" s="675"/>
      <c r="AK162" s="256">
        <f t="shared" si="90"/>
        <v>0</v>
      </c>
      <c r="AL162" s="434">
        <f t="shared" si="91"/>
        <v>0</v>
      </c>
      <c r="AM162" s="78"/>
      <c r="AN162" s="675"/>
      <c r="AO162" s="78"/>
      <c r="AP162" s="675"/>
      <c r="AQ162" s="78"/>
      <c r="AR162" s="675"/>
      <c r="AS162" s="78"/>
      <c r="AT162" s="675"/>
      <c r="AU162" s="258">
        <f t="shared" si="78"/>
        <v>0</v>
      </c>
      <c r="AV162" s="89">
        <f t="shared" si="79"/>
        <v>0</v>
      </c>
      <c r="AW162" s="257">
        <f t="shared" si="80"/>
        <v>0</v>
      </c>
      <c r="AX162" s="79">
        <f t="shared" si="81"/>
        <v>0</v>
      </c>
      <c r="AY162" s="259">
        <f t="shared" si="82"/>
        <v>4194.2666666666664</v>
      </c>
      <c r="AZ162" s="79">
        <f t="shared" si="83"/>
        <v>5030.0444444444447</v>
      </c>
      <c r="BA162" s="680"/>
    </row>
    <row r="163" spans="1:53">
      <c r="A163" s="293" t="s">
        <v>503</v>
      </c>
      <c r="B163" s="294" t="s">
        <v>516</v>
      </c>
      <c r="C163" s="293">
        <v>139986</v>
      </c>
      <c r="D163" s="669">
        <v>12</v>
      </c>
      <c r="E163" s="486" t="s">
        <v>505</v>
      </c>
      <c r="F163" s="149" t="s">
        <v>475</v>
      </c>
      <c r="G163" s="78">
        <v>40837</v>
      </c>
      <c r="H163" s="675">
        <v>44781</v>
      </c>
      <c r="I163" s="78">
        <v>38777</v>
      </c>
      <c r="J163" s="675">
        <v>45323</v>
      </c>
      <c r="K163" s="78">
        <v>32106</v>
      </c>
      <c r="L163" s="675">
        <v>37882</v>
      </c>
      <c r="M163" s="78">
        <v>44413</v>
      </c>
      <c r="N163" s="675">
        <v>57334</v>
      </c>
      <c r="O163" s="256">
        <f t="shared" si="84"/>
        <v>156133</v>
      </c>
      <c r="P163" s="89">
        <f t="shared" si="92"/>
        <v>3469.6222222222223</v>
      </c>
      <c r="Q163" s="257">
        <f t="shared" si="85"/>
        <v>185320</v>
      </c>
      <c r="R163" s="79">
        <f t="shared" si="93"/>
        <v>4118.2222222222226</v>
      </c>
      <c r="S163" s="78">
        <v>3498</v>
      </c>
      <c r="T163" s="690">
        <v>3403</v>
      </c>
      <c r="U163" s="256">
        <f t="shared" si="76"/>
        <v>156133</v>
      </c>
      <c r="V163" s="434">
        <f t="shared" si="77"/>
        <v>185320</v>
      </c>
      <c r="W163" s="78"/>
      <c r="X163" s="675"/>
      <c r="Y163" s="78"/>
      <c r="Z163" s="675"/>
      <c r="AA163" s="78"/>
      <c r="AB163" s="675"/>
      <c r="AC163" s="78"/>
      <c r="AD163" s="675"/>
      <c r="AE163" s="256">
        <f t="shared" si="86"/>
        <v>0</v>
      </c>
      <c r="AF163" s="89">
        <f t="shared" si="87"/>
        <v>0</v>
      </c>
      <c r="AG163" s="257">
        <f t="shared" si="88"/>
        <v>0</v>
      </c>
      <c r="AH163" s="79">
        <f t="shared" si="89"/>
        <v>0</v>
      </c>
      <c r="AI163" s="78"/>
      <c r="AJ163" s="675"/>
      <c r="AK163" s="256">
        <f t="shared" si="90"/>
        <v>0</v>
      </c>
      <c r="AL163" s="434">
        <f t="shared" si="91"/>
        <v>0</v>
      </c>
      <c r="AM163" s="78"/>
      <c r="AN163" s="675"/>
      <c r="AO163" s="78"/>
      <c r="AP163" s="675"/>
      <c r="AQ163" s="78"/>
      <c r="AR163" s="675"/>
      <c r="AS163" s="78"/>
      <c r="AT163" s="675"/>
      <c r="AU163" s="258">
        <f t="shared" si="78"/>
        <v>0</v>
      </c>
      <c r="AV163" s="89">
        <f t="shared" si="79"/>
        <v>0</v>
      </c>
      <c r="AW163" s="257">
        <f t="shared" si="80"/>
        <v>0</v>
      </c>
      <c r="AX163" s="79">
        <f t="shared" si="81"/>
        <v>0</v>
      </c>
      <c r="AY163" s="259">
        <f t="shared" si="82"/>
        <v>3469.6222222222223</v>
      </c>
      <c r="AZ163" s="79">
        <f t="shared" si="83"/>
        <v>4118.2222222222226</v>
      </c>
      <c r="BA163" s="680"/>
    </row>
    <row r="164" spans="1:53">
      <c r="A164" s="293" t="s">
        <v>503</v>
      </c>
      <c r="B164" s="294" t="s">
        <v>517</v>
      </c>
      <c r="C164" s="293">
        <v>140012</v>
      </c>
      <c r="D164" s="269">
        <v>12</v>
      </c>
      <c r="E164" s="486" t="s">
        <v>505</v>
      </c>
      <c r="F164" s="149" t="s">
        <v>475</v>
      </c>
      <c r="G164" s="78">
        <v>50175</v>
      </c>
      <c r="H164" s="675">
        <v>56083</v>
      </c>
      <c r="I164" s="78">
        <v>49317</v>
      </c>
      <c r="J164" s="675">
        <v>56898</v>
      </c>
      <c r="K164" s="78">
        <v>35130</v>
      </c>
      <c r="L164" s="675">
        <v>44317</v>
      </c>
      <c r="M164" s="78">
        <v>59232</v>
      </c>
      <c r="N164" s="675">
        <v>72514</v>
      </c>
      <c r="O164" s="256">
        <f t="shared" si="84"/>
        <v>193854</v>
      </c>
      <c r="P164" s="89">
        <f t="shared" si="92"/>
        <v>4307.8666666666668</v>
      </c>
      <c r="Q164" s="257">
        <f t="shared" si="85"/>
        <v>229812</v>
      </c>
      <c r="R164" s="79">
        <f t="shared" si="93"/>
        <v>5106.9333333333334</v>
      </c>
      <c r="S164" s="78">
        <v>325</v>
      </c>
      <c r="T164" s="690">
        <v>263</v>
      </c>
      <c r="U164" s="256">
        <f t="shared" si="76"/>
        <v>193854</v>
      </c>
      <c r="V164" s="434">
        <f t="shared" si="77"/>
        <v>229812</v>
      </c>
      <c r="W164" s="78"/>
      <c r="X164" s="675"/>
      <c r="Y164" s="78"/>
      <c r="Z164" s="675"/>
      <c r="AA164" s="78"/>
      <c r="AB164" s="675"/>
      <c r="AC164" s="78"/>
      <c r="AD164" s="675"/>
      <c r="AE164" s="256">
        <f t="shared" si="86"/>
        <v>0</v>
      </c>
      <c r="AF164" s="89">
        <f t="shared" si="87"/>
        <v>0</v>
      </c>
      <c r="AG164" s="257">
        <f t="shared" si="88"/>
        <v>0</v>
      </c>
      <c r="AH164" s="79">
        <f t="shared" si="89"/>
        <v>0</v>
      </c>
      <c r="AI164" s="78"/>
      <c r="AJ164" s="675"/>
      <c r="AK164" s="256">
        <f t="shared" si="90"/>
        <v>0</v>
      </c>
      <c r="AL164" s="434">
        <f t="shared" si="91"/>
        <v>0</v>
      </c>
      <c r="AM164" s="78"/>
      <c r="AN164" s="675"/>
      <c r="AO164" s="78"/>
      <c r="AP164" s="675"/>
      <c r="AQ164" s="78"/>
      <c r="AR164" s="675"/>
      <c r="AS164" s="78"/>
      <c r="AT164" s="675"/>
      <c r="AU164" s="258">
        <f t="shared" si="78"/>
        <v>0</v>
      </c>
      <c r="AV164" s="89">
        <f t="shared" si="79"/>
        <v>0</v>
      </c>
      <c r="AW164" s="257">
        <f t="shared" si="80"/>
        <v>0</v>
      </c>
      <c r="AX164" s="79">
        <f t="shared" si="81"/>
        <v>0</v>
      </c>
      <c r="AY164" s="259">
        <f t="shared" si="82"/>
        <v>4307.8666666666668</v>
      </c>
      <c r="AZ164" s="79">
        <f t="shared" si="83"/>
        <v>5106.9333333333334</v>
      </c>
      <c r="BA164" s="680"/>
    </row>
    <row r="165" spans="1:53">
      <c r="A165" s="293" t="s">
        <v>503</v>
      </c>
      <c r="B165" s="294" t="s">
        <v>518</v>
      </c>
      <c r="C165" s="293">
        <v>140076</v>
      </c>
      <c r="D165" s="269">
        <v>12</v>
      </c>
      <c r="E165" s="486" t="s">
        <v>505</v>
      </c>
      <c r="F165" s="149" t="s">
        <v>475</v>
      </c>
      <c r="G165" s="78">
        <v>12439</v>
      </c>
      <c r="H165" s="675">
        <v>14790</v>
      </c>
      <c r="I165" s="78">
        <v>11909</v>
      </c>
      <c r="J165" s="675">
        <v>14140</v>
      </c>
      <c r="K165" s="78">
        <v>10748</v>
      </c>
      <c r="L165" s="675">
        <v>14096</v>
      </c>
      <c r="M165" s="78">
        <v>14930</v>
      </c>
      <c r="N165" s="675">
        <v>17502</v>
      </c>
      <c r="O165" s="256">
        <f t="shared" si="84"/>
        <v>50026</v>
      </c>
      <c r="P165" s="89">
        <f t="shared" si="92"/>
        <v>1111.6888888888889</v>
      </c>
      <c r="Q165" s="257">
        <f t="shared" si="85"/>
        <v>60528</v>
      </c>
      <c r="R165" s="79">
        <f t="shared" si="93"/>
        <v>1345.0666666666666</v>
      </c>
      <c r="S165" s="78">
        <v>6170</v>
      </c>
      <c r="T165" s="690">
        <v>5291</v>
      </c>
      <c r="U165" s="256">
        <f t="shared" si="76"/>
        <v>50026</v>
      </c>
      <c r="V165" s="434">
        <f t="shared" si="77"/>
        <v>60528</v>
      </c>
      <c r="W165" s="78"/>
      <c r="X165" s="675"/>
      <c r="Y165" s="78"/>
      <c r="Z165" s="675"/>
      <c r="AA165" s="78"/>
      <c r="AB165" s="675"/>
      <c r="AC165" s="78"/>
      <c r="AD165" s="675"/>
      <c r="AE165" s="256">
        <f t="shared" si="86"/>
        <v>0</v>
      </c>
      <c r="AF165" s="89">
        <f t="shared" si="87"/>
        <v>0</v>
      </c>
      <c r="AG165" s="257">
        <f t="shared" si="88"/>
        <v>0</v>
      </c>
      <c r="AH165" s="79">
        <f t="shared" si="89"/>
        <v>0</v>
      </c>
      <c r="AI165" s="78"/>
      <c r="AJ165" s="675"/>
      <c r="AK165" s="256">
        <f t="shared" si="90"/>
        <v>0</v>
      </c>
      <c r="AL165" s="434">
        <f t="shared" si="91"/>
        <v>0</v>
      </c>
      <c r="AM165" s="78"/>
      <c r="AN165" s="675"/>
      <c r="AO165" s="78"/>
      <c r="AP165" s="675"/>
      <c r="AQ165" s="78"/>
      <c r="AR165" s="675"/>
      <c r="AS165" s="78"/>
      <c r="AT165" s="675"/>
      <c r="AU165" s="258">
        <f t="shared" si="78"/>
        <v>0</v>
      </c>
      <c r="AV165" s="89">
        <f t="shared" si="79"/>
        <v>0</v>
      </c>
      <c r="AW165" s="257">
        <f t="shared" si="80"/>
        <v>0</v>
      </c>
      <c r="AX165" s="79">
        <f t="shared" si="81"/>
        <v>0</v>
      </c>
      <c r="AY165" s="259">
        <f t="shared" si="82"/>
        <v>1111.6888888888889</v>
      </c>
      <c r="AZ165" s="79">
        <f t="shared" si="83"/>
        <v>1345.0666666666666</v>
      </c>
      <c r="BA165" s="680"/>
    </row>
    <row r="166" spans="1:53">
      <c r="A166" s="293" t="s">
        <v>503</v>
      </c>
      <c r="B166" s="294" t="s">
        <v>519</v>
      </c>
      <c r="C166" s="293">
        <v>140243</v>
      </c>
      <c r="D166" s="269">
        <v>12</v>
      </c>
      <c r="E166" s="486" t="s">
        <v>505</v>
      </c>
      <c r="F166" s="149" t="s">
        <v>475</v>
      </c>
      <c r="G166" s="78">
        <v>31781</v>
      </c>
      <c r="H166" s="675">
        <v>31987.5</v>
      </c>
      <c r="I166" s="78">
        <v>28350</v>
      </c>
      <c r="J166" s="675">
        <v>33633</v>
      </c>
      <c r="K166" s="78">
        <v>22929</v>
      </c>
      <c r="L166" s="675">
        <v>29674</v>
      </c>
      <c r="M166" s="78">
        <v>30690.5</v>
      </c>
      <c r="N166" s="675">
        <v>41090</v>
      </c>
      <c r="O166" s="256">
        <f t="shared" si="84"/>
        <v>113750.5</v>
      </c>
      <c r="P166" s="89">
        <f t="shared" si="92"/>
        <v>2527.7888888888888</v>
      </c>
      <c r="Q166" s="257">
        <f t="shared" si="85"/>
        <v>136384.5</v>
      </c>
      <c r="R166" s="79">
        <f t="shared" si="93"/>
        <v>3030.7666666666669</v>
      </c>
      <c r="S166" s="78">
        <v>2786.5</v>
      </c>
      <c r="T166" s="690">
        <v>2460.5</v>
      </c>
      <c r="U166" s="256">
        <f t="shared" si="76"/>
        <v>113750.5</v>
      </c>
      <c r="V166" s="434">
        <f t="shared" si="77"/>
        <v>136384.5</v>
      </c>
      <c r="W166" s="78"/>
      <c r="X166" s="675"/>
      <c r="Y166" s="78"/>
      <c r="Z166" s="675"/>
      <c r="AA166" s="78"/>
      <c r="AB166" s="675"/>
      <c r="AC166" s="78"/>
      <c r="AD166" s="675"/>
      <c r="AE166" s="256">
        <f t="shared" si="86"/>
        <v>0</v>
      </c>
      <c r="AF166" s="89">
        <f t="shared" si="87"/>
        <v>0</v>
      </c>
      <c r="AG166" s="257">
        <f t="shared" si="88"/>
        <v>0</v>
      </c>
      <c r="AH166" s="79">
        <f t="shared" si="89"/>
        <v>0</v>
      </c>
      <c r="AI166" s="78"/>
      <c r="AJ166" s="675"/>
      <c r="AK166" s="256">
        <f t="shared" si="90"/>
        <v>0</v>
      </c>
      <c r="AL166" s="434">
        <f t="shared" si="91"/>
        <v>0</v>
      </c>
      <c r="AM166" s="78"/>
      <c r="AN166" s="675"/>
      <c r="AO166" s="78"/>
      <c r="AP166" s="675"/>
      <c r="AQ166" s="78"/>
      <c r="AR166" s="675"/>
      <c r="AS166" s="78"/>
      <c r="AT166" s="675"/>
      <c r="AU166" s="258">
        <f t="shared" si="78"/>
        <v>0</v>
      </c>
      <c r="AV166" s="89">
        <f t="shared" si="79"/>
        <v>0</v>
      </c>
      <c r="AW166" s="257">
        <f t="shared" si="80"/>
        <v>0</v>
      </c>
      <c r="AX166" s="79">
        <f t="shared" si="81"/>
        <v>0</v>
      </c>
      <c r="AY166" s="259">
        <f t="shared" si="82"/>
        <v>2527.7888888888888</v>
      </c>
      <c r="AZ166" s="79">
        <f t="shared" si="83"/>
        <v>3030.7666666666669</v>
      </c>
      <c r="BA166" s="680"/>
    </row>
    <row r="167" spans="1:53">
      <c r="A167" s="293" t="s">
        <v>503</v>
      </c>
      <c r="B167" s="294" t="s">
        <v>520</v>
      </c>
      <c r="C167" s="293">
        <v>140085</v>
      </c>
      <c r="D167" s="269">
        <v>12</v>
      </c>
      <c r="E167" s="486" t="s">
        <v>505</v>
      </c>
      <c r="F167" s="149" t="s">
        <v>475</v>
      </c>
      <c r="G167" s="78">
        <v>29826</v>
      </c>
      <c r="H167" s="675">
        <v>31598</v>
      </c>
      <c r="I167" s="78">
        <v>30405</v>
      </c>
      <c r="J167" s="675">
        <v>31922</v>
      </c>
      <c r="K167" s="78">
        <v>23566</v>
      </c>
      <c r="L167" s="675">
        <v>30382</v>
      </c>
      <c r="M167" s="78">
        <v>29831</v>
      </c>
      <c r="N167" s="675">
        <v>43066</v>
      </c>
      <c r="O167" s="256">
        <f t="shared" si="84"/>
        <v>113628</v>
      </c>
      <c r="P167" s="89">
        <f t="shared" si="92"/>
        <v>2525.0666666666666</v>
      </c>
      <c r="Q167" s="257">
        <f t="shared" si="85"/>
        <v>136968</v>
      </c>
      <c r="R167" s="79">
        <f t="shared" si="93"/>
        <v>3043.7333333333331</v>
      </c>
      <c r="S167" s="78">
        <v>6183</v>
      </c>
      <c r="T167" s="690">
        <v>6351</v>
      </c>
      <c r="U167" s="256">
        <f t="shared" si="76"/>
        <v>113628</v>
      </c>
      <c r="V167" s="434">
        <f t="shared" si="77"/>
        <v>136968</v>
      </c>
      <c r="W167" s="78"/>
      <c r="X167" s="675"/>
      <c r="Y167" s="78"/>
      <c r="Z167" s="675"/>
      <c r="AA167" s="78"/>
      <c r="AB167" s="675"/>
      <c r="AC167" s="78"/>
      <c r="AD167" s="675"/>
      <c r="AE167" s="256">
        <f t="shared" si="86"/>
        <v>0</v>
      </c>
      <c r="AF167" s="89">
        <f t="shared" si="87"/>
        <v>0</v>
      </c>
      <c r="AG167" s="257">
        <f t="shared" si="88"/>
        <v>0</v>
      </c>
      <c r="AH167" s="79">
        <f t="shared" si="89"/>
        <v>0</v>
      </c>
      <c r="AI167" s="78"/>
      <c r="AJ167" s="675"/>
      <c r="AK167" s="256">
        <f t="shared" si="90"/>
        <v>0</v>
      </c>
      <c r="AL167" s="434">
        <f t="shared" si="91"/>
        <v>0</v>
      </c>
      <c r="AM167" s="78"/>
      <c r="AN167" s="675"/>
      <c r="AO167" s="78"/>
      <c r="AP167" s="675"/>
      <c r="AQ167" s="78"/>
      <c r="AR167" s="675"/>
      <c r="AS167" s="78"/>
      <c r="AT167" s="675"/>
      <c r="AU167" s="258">
        <f t="shared" si="78"/>
        <v>0</v>
      </c>
      <c r="AV167" s="89">
        <f t="shared" si="79"/>
        <v>0</v>
      </c>
      <c r="AW167" s="257">
        <f t="shared" si="80"/>
        <v>0</v>
      </c>
      <c r="AX167" s="79">
        <f t="shared" si="81"/>
        <v>0</v>
      </c>
      <c r="AY167" s="259">
        <f t="shared" si="82"/>
        <v>2525.0666666666666</v>
      </c>
      <c r="AZ167" s="79">
        <f t="shared" si="83"/>
        <v>3043.7333333333331</v>
      </c>
      <c r="BA167" s="680"/>
    </row>
    <row r="168" spans="1:53">
      <c r="A168" s="293" t="s">
        <v>503</v>
      </c>
      <c r="B168" s="294" t="s">
        <v>521</v>
      </c>
      <c r="C168" s="293">
        <v>140599</v>
      </c>
      <c r="D168" s="269">
        <v>12</v>
      </c>
      <c r="E168" s="486" t="s">
        <v>505</v>
      </c>
      <c r="F168" s="149" t="s">
        <v>475</v>
      </c>
      <c r="G168" s="78">
        <v>20992</v>
      </c>
      <c r="H168" s="675">
        <v>23253</v>
      </c>
      <c r="I168" s="78">
        <v>19199</v>
      </c>
      <c r="J168" s="675">
        <v>23373</v>
      </c>
      <c r="K168" s="78">
        <v>17239</v>
      </c>
      <c r="L168" s="675">
        <v>20975</v>
      </c>
      <c r="M168" s="78">
        <v>24359</v>
      </c>
      <c r="N168" s="675">
        <v>27636</v>
      </c>
      <c r="O168" s="256">
        <f t="shared" si="84"/>
        <v>81789</v>
      </c>
      <c r="P168" s="89">
        <f t="shared" si="92"/>
        <v>1817.5333333333333</v>
      </c>
      <c r="Q168" s="257">
        <f t="shared" si="85"/>
        <v>95237</v>
      </c>
      <c r="R168" s="79">
        <f t="shared" si="93"/>
        <v>2116.3777777777777</v>
      </c>
      <c r="S168" s="78">
        <v>9166</v>
      </c>
      <c r="T168" s="690">
        <v>7181</v>
      </c>
      <c r="U168" s="256">
        <f t="shared" si="76"/>
        <v>81789</v>
      </c>
      <c r="V168" s="434">
        <f t="shared" si="77"/>
        <v>95237</v>
      </c>
      <c r="W168" s="78"/>
      <c r="X168" s="675"/>
      <c r="Y168" s="78"/>
      <c r="Z168" s="675"/>
      <c r="AA168" s="78"/>
      <c r="AB168" s="675"/>
      <c r="AC168" s="78"/>
      <c r="AD168" s="675"/>
      <c r="AE168" s="256">
        <f t="shared" si="86"/>
        <v>0</v>
      </c>
      <c r="AF168" s="89">
        <f t="shared" si="87"/>
        <v>0</v>
      </c>
      <c r="AG168" s="257">
        <f t="shared" si="88"/>
        <v>0</v>
      </c>
      <c r="AH168" s="79">
        <f t="shared" si="89"/>
        <v>0</v>
      </c>
      <c r="AI168" s="78"/>
      <c r="AJ168" s="675"/>
      <c r="AK168" s="256">
        <f t="shared" si="90"/>
        <v>0</v>
      </c>
      <c r="AL168" s="434">
        <f t="shared" si="91"/>
        <v>0</v>
      </c>
      <c r="AM168" s="78"/>
      <c r="AN168" s="675"/>
      <c r="AO168" s="78"/>
      <c r="AP168" s="675"/>
      <c r="AQ168" s="78"/>
      <c r="AR168" s="675"/>
      <c r="AS168" s="78"/>
      <c r="AT168" s="675"/>
      <c r="AU168" s="258">
        <f t="shared" si="78"/>
        <v>0</v>
      </c>
      <c r="AV168" s="89">
        <f t="shared" si="79"/>
        <v>0</v>
      </c>
      <c r="AW168" s="257">
        <f t="shared" si="80"/>
        <v>0</v>
      </c>
      <c r="AX168" s="79">
        <f t="shared" si="81"/>
        <v>0</v>
      </c>
      <c r="AY168" s="259">
        <f t="shared" si="82"/>
        <v>1817.5333333333333</v>
      </c>
      <c r="AZ168" s="79">
        <f t="shared" si="83"/>
        <v>2116.3777777777777</v>
      </c>
      <c r="BA168" s="680"/>
    </row>
    <row r="169" spans="1:53">
      <c r="A169" s="293" t="s">
        <v>503</v>
      </c>
      <c r="B169" s="294" t="s">
        <v>522</v>
      </c>
      <c r="C169" s="293">
        <v>140678</v>
      </c>
      <c r="D169" s="269">
        <v>12</v>
      </c>
      <c r="E169" s="486" t="s">
        <v>505</v>
      </c>
      <c r="F169" s="149" t="s">
        <v>475</v>
      </c>
      <c r="G169" s="78">
        <v>22413</v>
      </c>
      <c r="H169" s="675">
        <v>26807</v>
      </c>
      <c r="I169" s="78">
        <v>21175</v>
      </c>
      <c r="J169" s="675">
        <v>26931</v>
      </c>
      <c r="K169" s="78">
        <v>18541</v>
      </c>
      <c r="L169" s="675">
        <v>24439</v>
      </c>
      <c r="M169" s="78">
        <v>25318</v>
      </c>
      <c r="N169" s="675">
        <v>35524</v>
      </c>
      <c r="O169" s="256">
        <f t="shared" si="84"/>
        <v>87447</v>
      </c>
      <c r="P169" s="89">
        <f t="shared" si="92"/>
        <v>1943.2666666666667</v>
      </c>
      <c r="Q169" s="257">
        <f t="shared" si="85"/>
        <v>113701</v>
      </c>
      <c r="R169" s="79">
        <f t="shared" si="93"/>
        <v>2526.6888888888889</v>
      </c>
      <c r="S169" s="78">
        <v>972.1</v>
      </c>
      <c r="T169" s="690">
        <v>1255.9000000000001</v>
      </c>
      <c r="U169" s="256">
        <f t="shared" si="76"/>
        <v>87447</v>
      </c>
      <c r="V169" s="434">
        <f t="shared" si="77"/>
        <v>113701</v>
      </c>
      <c r="W169" s="78"/>
      <c r="X169" s="675"/>
      <c r="Y169" s="78"/>
      <c r="Z169" s="675"/>
      <c r="AA169" s="78"/>
      <c r="AB169" s="675"/>
      <c r="AC169" s="78"/>
      <c r="AD169" s="675"/>
      <c r="AE169" s="256">
        <f t="shared" si="86"/>
        <v>0</v>
      </c>
      <c r="AF169" s="89">
        <f t="shared" si="87"/>
        <v>0</v>
      </c>
      <c r="AG169" s="257">
        <f t="shared" si="88"/>
        <v>0</v>
      </c>
      <c r="AH169" s="79">
        <f t="shared" si="89"/>
        <v>0</v>
      </c>
      <c r="AI169" s="78"/>
      <c r="AJ169" s="675"/>
      <c r="AK169" s="256">
        <f t="shared" si="90"/>
        <v>0</v>
      </c>
      <c r="AL169" s="434">
        <f t="shared" si="91"/>
        <v>0</v>
      </c>
      <c r="AM169" s="78"/>
      <c r="AN169" s="675"/>
      <c r="AO169" s="78"/>
      <c r="AP169" s="675"/>
      <c r="AQ169" s="78"/>
      <c r="AR169" s="675"/>
      <c r="AS169" s="78"/>
      <c r="AT169" s="675"/>
      <c r="AU169" s="258">
        <f t="shared" si="78"/>
        <v>0</v>
      </c>
      <c r="AV169" s="89">
        <f t="shared" si="79"/>
        <v>0</v>
      </c>
      <c r="AW169" s="257">
        <f t="shared" si="80"/>
        <v>0</v>
      </c>
      <c r="AX169" s="79">
        <f t="shared" si="81"/>
        <v>0</v>
      </c>
      <c r="AY169" s="259">
        <f t="shared" si="82"/>
        <v>1943.2666666666667</v>
      </c>
      <c r="AZ169" s="79">
        <f t="shared" si="83"/>
        <v>2526.6888888888889</v>
      </c>
      <c r="BA169" s="680"/>
    </row>
    <row r="170" spans="1:53">
      <c r="A170" s="293" t="s">
        <v>503</v>
      </c>
      <c r="B170" s="294" t="s">
        <v>523</v>
      </c>
      <c r="C170" s="293">
        <v>366465</v>
      </c>
      <c r="D170" s="669">
        <v>12</v>
      </c>
      <c r="E170" s="486" t="s">
        <v>505</v>
      </c>
      <c r="F170" s="149" t="s">
        <v>475</v>
      </c>
      <c r="G170" s="78">
        <v>19476</v>
      </c>
      <c r="H170" s="675">
        <v>22573</v>
      </c>
      <c r="I170" s="78">
        <v>17850</v>
      </c>
      <c r="J170" s="675">
        <v>22053</v>
      </c>
      <c r="K170" s="78">
        <v>13572</v>
      </c>
      <c r="L170" s="675">
        <v>19286</v>
      </c>
      <c r="M170" s="78">
        <v>20739</v>
      </c>
      <c r="N170" s="675">
        <v>27202</v>
      </c>
      <c r="O170" s="256">
        <f t="shared" si="84"/>
        <v>71637</v>
      </c>
      <c r="P170" s="89">
        <f t="shared" si="92"/>
        <v>1591.9333333333334</v>
      </c>
      <c r="Q170" s="257">
        <f t="shared" si="85"/>
        <v>91114</v>
      </c>
      <c r="R170" s="79">
        <f t="shared" si="93"/>
        <v>2024.7555555555555</v>
      </c>
      <c r="S170" s="78">
        <v>1280</v>
      </c>
      <c r="T170" s="690">
        <v>2307</v>
      </c>
      <c r="U170" s="256">
        <f t="shared" si="76"/>
        <v>71637</v>
      </c>
      <c r="V170" s="434">
        <f t="shared" si="77"/>
        <v>91114</v>
      </c>
      <c r="W170" s="78"/>
      <c r="X170" s="675"/>
      <c r="Y170" s="78"/>
      <c r="Z170" s="675"/>
      <c r="AA170" s="78"/>
      <c r="AB170" s="675"/>
      <c r="AC170" s="78"/>
      <c r="AD170" s="675"/>
      <c r="AE170" s="256">
        <f t="shared" si="86"/>
        <v>0</v>
      </c>
      <c r="AF170" s="89">
        <f t="shared" si="87"/>
        <v>0</v>
      </c>
      <c r="AG170" s="257">
        <f t="shared" si="88"/>
        <v>0</v>
      </c>
      <c r="AH170" s="79">
        <f t="shared" si="89"/>
        <v>0</v>
      </c>
      <c r="AI170" s="78"/>
      <c r="AJ170" s="675"/>
      <c r="AK170" s="256">
        <f t="shared" si="90"/>
        <v>0</v>
      </c>
      <c r="AL170" s="434">
        <f t="shared" si="91"/>
        <v>0</v>
      </c>
      <c r="AM170" s="78"/>
      <c r="AN170" s="675"/>
      <c r="AO170" s="78"/>
      <c r="AP170" s="675"/>
      <c r="AQ170" s="78"/>
      <c r="AR170" s="675"/>
      <c r="AS170" s="78"/>
      <c r="AT170" s="675"/>
      <c r="AU170" s="258">
        <f t="shared" si="78"/>
        <v>0</v>
      </c>
      <c r="AV170" s="89">
        <f t="shared" si="79"/>
        <v>0</v>
      </c>
      <c r="AW170" s="257">
        <f t="shared" si="80"/>
        <v>0</v>
      </c>
      <c r="AX170" s="79">
        <f t="shared" si="81"/>
        <v>0</v>
      </c>
      <c r="AY170" s="259">
        <f t="shared" si="82"/>
        <v>1591.9333333333334</v>
      </c>
      <c r="AZ170" s="79">
        <f t="shared" si="83"/>
        <v>2024.7555555555555</v>
      </c>
      <c r="BA170" s="680"/>
    </row>
    <row r="171" spans="1:53">
      <c r="A171" s="293" t="s">
        <v>503</v>
      </c>
      <c r="B171" s="294" t="s">
        <v>524</v>
      </c>
      <c r="C171" s="293">
        <v>248776</v>
      </c>
      <c r="D171" s="269">
        <v>12</v>
      </c>
      <c r="E171" s="486" t="s">
        <v>505</v>
      </c>
      <c r="F171" s="149" t="s">
        <v>475</v>
      </c>
      <c r="G171" s="78">
        <v>13366</v>
      </c>
      <c r="H171" s="675">
        <v>13790</v>
      </c>
      <c r="I171" s="78">
        <v>12115</v>
      </c>
      <c r="J171" s="675">
        <v>13765.5</v>
      </c>
      <c r="K171" s="78">
        <v>10978</v>
      </c>
      <c r="L171" s="675">
        <v>13274</v>
      </c>
      <c r="M171" s="78">
        <v>14066</v>
      </c>
      <c r="N171" s="675">
        <v>17358.5</v>
      </c>
      <c r="O171" s="256">
        <f t="shared" si="84"/>
        <v>50525</v>
      </c>
      <c r="P171" s="89">
        <f t="shared" si="92"/>
        <v>1122.7777777777778</v>
      </c>
      <c r="Q171" s="257">
        <f t="shared" si="85"/>
        <v>58188</v>
      </c>
      <c r="R171" s="79">
        <f t="shared" si="93"/>
        <v>1293.0666666666666</v>
      </c>
      <c r="S171" s="78">
        <v>3476</v>
      </c>
      <c r="T171" s="690">
        <v>2615.5</v>
      </c>
      <c r="U171" s="256">
        <f t="shared" si="76"/>
        <v>50525</v>
      </c>
      <c r="V171" s="434">
        <f t="shared" si="77"/>
        <v>58188</v>
      </c>
      <c r="W171" s="78"/>
      <c r="X171" s="675"/>
      <c r="Y171" s="78"/>
      <c r="Z171" s="675"/>
      <c r="AA171" s="78"/>
      <c r="AB171" s="675"/>
      <c r="AC171" s="78"/>
      <c r="AD171" s="675"/>
      <c r="AE171" s="256">
        <f t="shared" si="86"/>
        <v>0</v>
      </c>
      <c r="AF171" s="89">
        <f t="shared" si="87"/>
        <v>0</v>
      </c>
      <c r="AG171" s="257">
        <f t="shared" si="88"/>
        <v>0</v>
      </c>
      <c r="AH171" s="79">
        <f t="shared" si="89"/>
        <v>0</v>
      </c>
      <c r="AI171" s="78"/>
      <c r="AJ171" s="675"/>
      <c r="AK171" s="256">
        <f t="shared" si="90"/>
        <v>0</v>
      </c>
      <c r="AL171" s="434">
        <f t="shared" si="91"/>
        <v>0</v>
      </c>
      <c r="AM171" s="78"/>
      <c r="AN171" s="675"/>
      <c r="AO171" s="78"/>
      <c r="AP171" s="675"/>
      <c r="AQ171" s="78"/>
      <c r="AR171" s="675"/>
      <c r="AS171" s="78"/>
      <c r="AT171" s="675"/>
      <c r="AU171" s="258">
        <f t="shared" si="78"/>
        <v>0</v>
      </c>
      <c r="AV171" s="89">
        <f t="shared" si="79"/>
        <v>0</v>
      </c>
      <c r="AW171" s="257">
        <f t="shared" si="80"/>
        <v>0</v>
      </c>
      <c r="AX171" s="79">
        <f t="shared" si="81"/>
        <v>0</v>
      </c>
      <c r="AY171" s="259">
        <f t="shared" si="82"/>
        <v>1122.7777777777778</v>
      </c>
      <c r="AZ171" s="79">
        <f t="shared" si="83"/>
        <v>1293.0666666666666</v>
      </c>
      <c r="BA171" s="680"/>
    </row>
    <row r="172" spans="1:53">
      <c r="A172" s="293" t="s">
        <v>503</v>
      </c>
      <c r="B172" s="294" t="s">
        <v>525</v>
      </c>
      <c r="C172" s="293">
        <v>140942</v>
      </c>
      <c r="D172" s="269">
        <v>12</v>
      </c>
      <c r="E172" s="486" t="s">
        <v>505</v>
      </c>
      <c r="F172" s="149" t="s">
        <v>475</v>
      </c>
      <c r="G172" s="78">
        <v>43516</v>
      </c>
      <c r="H172" s="675">
        <v>48813</v>
      </c>
      <c r="I172" s="78">
        <v>41137</v>
      </c>
      <c r="J172" s="675">
        <v>48202</v>
      </c>
      <c r="K172" s="78">
        <v>35251</v>
      </c>
      <c r="L172" s="675">
        <v>40328</v>
      </c>
      <c r="M172" s="78">
        <v>49076</v>
      </c>
      <c r="N172" s="675">
        <v>58996</v>
      </c>
      <c r="O172" s="256">
        <f t="shared" si="84"/>
        <v>168980</v>
      </c>
      <c r="P172" s="89">
        <f t="shared" si="92"/>
        <v>3755.1111111111113</v>
      </c>
      <c r="Q172" s="257">
        <f t="shared" si="85"/>
        <v>196339</v>
      </c>
      <c r="R172" s="79">
        <f t="shared" si="93"/>
        <v>4363.0888888888885</v>
      </c>
      <c r="S172" s="78">
        <v>4410</v>
      </c>
      <c r="T172" s="690">
        <v>3342</v>
      </c>
      <c r="U172" s="256">
        <f t="shared" si="76"/>
        <v>168980</v>
      </c>
      <c r="V172" s="434">
        <f t="shared" si="77"/>
        <v>196339</v>
      </c>
      <c r="W172" s="78"/>
      <c r="X172" s="675"/>
      <c r="Y172" s="78"/>
      <c r="Z172" s="675"/>
      <c r="AA172" s="78"/>
      <c r="AB172" s="675"/>
      <c r="AC172" s="78"/>
      <c r="AD172" s="675"/>
      <c r="AE172" s="256">
        <f t="shared" si="86"/>
        <v>0</v>
      </c>
      <c r="AF172" s="89">
        <f t="shared" si="87"/>
        <v>0</v>
      </c>
      <c r="AG172" s="257">
        <f t="shared" si="88"/>
        <v>0</v>
      </c>
      <c r="AH172" s="79">
        <f t="shared" si="89"/>
        <v>0</v>
      </c>
      <c r="AI172" s="78"/>
      <c r="AJ172" s="675"/>
      <c r="AK172" s="256">
        <f t="shared" si="90"/>
        <v>0</v>
      </c>
      <c r="AL172" s="434">
        <f t="shared" si="91"/>
        <v>0</v>
      </c>
      <c r="AM172" s="78"/>
      <c r="AN172" s="675"/>
      <c r="AO172" s="78"/>
      <c r="AP172" s="675"/>
      <c r="AQ172" s="78"/>
      <c r="AR172" s="675"/>
      <c r="AS172" s="78"/>
      <c r="AT172" s="675"/>
      <c r="AU172" s="258">
        <f t="shared" si="78"/>
        <v>0</v>
      </c>
      <c r="AV172" s="89">
        <f t="shared" si="79"/>
        <v>0</v>
      </c>
      <c r="AW172" s="257">
        <f t="shared" si="80"/>
        <v>0</v>
      </c>
      <c r="AX172" s="79">
        <f t="shared" si="81"/>
        <v>0</v>
      </c>
      <c r="AY172" s="259">
        <f t="shared" si="82"/>
        <v>3755.1111111111113</v>
      </c>
      <c r="AZ172" s="79">
        <f t="shared" si="83"/>
        <v>4363.0888888888885</v>
      </c>
      <c r="BA172" s="680"/>
    </row>
    <row r="173" spans="1:53">
      <c r="A173" s="293" t="s">
        <v>503</v>
      </c>
      <c r="B173" s="294" t="s">
        <v>526</v>
      </c>
      <c r="C173" s="293">
        <v>141006</v>
      </c>
      <c r="D173" s="269">
        <v>12</v>
      </c>
      <c r="E173" s="486" t="s">
        <v>505</v>
      </c>
      <c r="F173" s="149" t="s">
        <v>475</v>
      </c>
      <c r="G173" s="78">
        <v>19548</v>
      </c>
      <c r="H173" s="675">
        <v>24455</v>
      </c>
      <c r="I173" s="78">
        <v>19291</v>
      </c>
      <c r="J173" s="675">
        <v>23787</v>
      </c>
      <c r="K173" s="78">
        <v>17501</v>
      </c>
      <c r="L173" s="675">
        <v>23313</v>
      </c>
      <c r="M173" s="78">
        <v>22969</v>
      </c>
      <c r="N173" s="675">
        <v>30730</v>
      </c>
      <c r="O173" s="256">
        <f t="shared" si="84"/>
        <v>79309</v>
      </c>
      <c r="P173" s="89">
        <f t="shared" si="92"/>
        <v>1762.4222222222222</v>
      </c>
      <c r="Q173" s="257">
        <f t="shared" si="85"/>
        <v>102285</v>
      </c>
      <c r="R173" s="79">
        <f t="shared" si="93"/>
        <v>2273</v>
      </c>
      <c r="S173" s="78">
        <v>3627</v>
      </c>
      <c r="T173" s="690">
        <v>3053</v>
      </c>
      <c r="U173" s="256">
        <f t="shared" si="76"/>
        <v>79309</v>
      </c>
      <c r="V173" s="434">
        <f t="shared" si="77"/>
        <v>102285</v>
      </c>
      <c r="W173" s="78"/>
      <c r="X173" s="675"/>
      <c r="Y173" s="78"/>
      <c r="Z173" s="675"/>
      <c r="AA173" s="78"/>
      <c r="AB173" s="675"/>
      <c r="AC173" s="78"/>
      <c r="AD173" s="675"/>
      <c r="AE173" s="256">
        <f t="shared" si="86"/>
        <v>0</v>
      </c>
      <c r="AF173" s="89">
        <f t="shared" si="87"/>
        <v>0</v>
      </c>
      <c r="AG173" s="257">
        <f t="shared" si="88"/>
        <v>0</v>
      </c>
      <c r="AH173" s="79">
        <f t="shared" si="89"/>
        <v>0</v>
      </c>
      <c r="AI173" s="78"/>
      <c r="AJ173" s="675"/>
      <c r="AK173" s="256">
        <f t="shared" si="90"/>
        <v>0</v>
      </c>
      <c r="AL173" s="434">
        <f t="shared" si="91"/>
        <v>0</v>
      </c>
      <c r="AM173" s="78"/>
      <c r="AN173" s="675"/>
      <c r="AO173" s="78"/>
      <c r="AP173" s="675"/>
      <c r="AQ173" s="78"/>
      <c r="AR173" s="675"/>
      <c r="AS173" s="78"/>
      <c r="AT173" s="675"/>
      <c r="AU173" s="258">
        <f t="shared" si="78"/>
        <v>0</v>
      </c>
      <c r="AV173" s="89">
        <f t="shared" si="79"/>
        <v>0</v>
      </c>
      <c r="AW173" s="257">
        <f t="shared" si="80"/>
        <v>0</v>
      </c>
      <c r="AX173" s="79">
        <f t="shared" si="81"/>
        <v>0</v>
      </c>
      <c r="AY173" s="259">
        <f t="shared" si="82"/>
        <v>1762.4222222222222</v>
      </c>
      <c r="AZ173" s="79">
        <f t="shared" si="83"/>
        <v>2273</v>
      </c>
      <c r="BA173" s="680"/>
    </row>
    <row r="174" spans="1:53">
      <c r="A174" s="293" t="s">
        <v>503</v>
      </c>
      <c r="B174" s="670" t="s">
        <v>527</v>
      </c>
      <c r="C174" s="671">
        <v>368911</v>
      </c>
      <c r="D174" s="672">
        <v>12</v>
      </c>
      <c r="E174" s="486" t="s">
        <v>505</v>
      </c>
      <c r="F174" s="149" t="s">
        <v>475</v>
      </c>
      <c r="G174" s="78">
        <v>15808</v>
      </c>
      <c r="H174" s="675">
        <v>17279</v>
      </c>
      <c r="I174" s="78">
        <v>15801</v>
      </c>
      <c r="J174" s="675">
        <v>17517</v>
      </c>
      <c r="K174" s="78">
        <v>13451</v>
      </c>
      <c r="L174" s="675">
        <v>15513</v>
      </c>
      <c r="M174" s="78">
        <v>17673</v>
      </c>
      <c r="N174" s="675">
        <v>21178</v>
      </c>
      <c r="O174" s="256">
        <f t="shared" si="84"/>
        <v>62733</v>
      </c>
      <c r="P174" s="89">
        <f t="shared" si="92"/>
        <v>1394.0666666666666</v>
      </c>
      <c r="Q174" s="257">
        <f t="shared" si="85"/>
        <v>71487</v>
      </c>
      <c r="R174" s="79">
        <f t="shared" si="93"/>
        <v>1588.6</v>
      </c>
      <c r="S174" s="78">
        <v>3883</v>
      </c>
      <c r="T174" s="690">
        <v>3807</v>
      </c>
      <c r="U174" s="256">
        <f t="shared" si="76"/>
        <v>62733</v>
      </c>
      <c r="V174" s="434">
        <f t="shared" si="77"/>
        <v>71487</v>
      </c>
      <c r="W174" s="78"/>
      <c r="X174" s="675"/>
      <c r="Y174" s="78"/>
      <c r="Z174" s="675"/>
      <c r="AA174" s="78"/>
      <c r="AB174" s="675"/>
      <c r="AC174" s="78"/>
      <c r="AD174" s="675"/>
      <c r="AE174" s="256">
        <f t="shared" si="86"/>
        <v>0</v>
      </c>
      <c r="AF174" s="89">
        <f t="shared" si="87"/>
        <v>0</v>
      </c>
      <c r="AG174" s="257">
        <f t="shared" si="88"/>
        <v>0</v>
      </c>
      <c r="AH174" s="79">
        <f t="shared" si="89"/>
        <v>0</v>
      </c>
      <c r="AI174" s="78"/>
      <c r="AJ174" s="675"/>
      <c r="AK174" s="256">
        <f t="shared" si="90"/>
        <v>0</v>
      </c>
      <c r="AL174" s="434">
        <f t="shared" si="91"/>
        <v>0</v>
      </c>
      <c r="AM174" s="78"/>
      <c r="AN174" s="675"/>
      <c r="AO174" s="78"/>
      <c r="AP174" s="675"/>
      <c r="AQ174" s="78"/>
      <c r="AR174" s="675"/>
      <c r="AS174" s="78"/>
      <c r="AT174" s="675"/>
      <c r="AU174" s="258">
        <f t="shared" si="78"/>
        <v>0</v>
      </c>
      <c r="AV174" s="89">
        <f t="shared" si="79"/>
        <v>0</v>
      </c>
      <c r="AW174" s="257">
        <f t="shared" si="80"/>
        <v>0</v>
      </c>
      <c r="AX174" s="79">
        <f t="shared" si="81"/>
        <v>0</v>
      </c>
      <c r="AY174" s="259">
        <f t="shared" si="82"/>
        <v>1394.0666666666666</v>
      </c>
      <c r="AZ174" s="79">
        <f t="shared" si="83"/>
        <v>1588.6</v>
      </c>
      <c r="BA174" s="680"/>
    </row>
    <row r="175" spans="1:53">
      <c r="A175" s="293" t="s">
        <v>503</v>
      </c>
      <c r="B175" s="294" t="s">
        <v>528</v>
      </c>
      <c r="C175" s="293">
        <v>141158</v>
      </c>
      <c r="D175" s="269">
        <v>12</v>
      </c>
      <c r="E175" s="486" t="s">
        <v>505</v>
      </c>
      <c r="F175" s="149" t="s">
        <v>475</v>
      </c>
      <c r="G175" s="78">
        <v>12121.5</v>
      </c>
      <c r="H175" s="675">
        <v>14119</v>
      </c>
      <c r="I175" s="78">
        <v>10669</v>
      </c>
      <c r="J175" s="675">
        <v>13408.2</v>
      </c>
      <c r="K175" s="78">
        <v>10679</v>
      </c>
      <c r="L175" s="675">
        <v>13089.2</v>
      </c>
      <c r="M175" s="78">
        <v>14205.1</v>
      </c>
      <c r="N175" s="675">
        <v>17447</v>
      </c>
      <c r="O175" s="256">
        <f t="shared" si="84"/>
        <v>47674.6</v>
      </c>
      <c r="P175" s="89">
        <f t="shared" si="92"/>
        <v>1059.4355555555555</v>
      </c>
      <c r="Q175" s="257">
        <f t="shared" si="85"/>
        <v>58063.4</v>
      </c>
      <c r="R175" s="79">
        <f t="shared" si="93"/>
        <v>1290.2977777777778</v>
      </c>
      <c r="S175" s="78">
        <v>4596.6000000000004</v>
      </c>
      <c r="T175" s="690">
        <v>3546.7</v>
      </c>
      <c r="U175" s="256">
        <f t="shared" si="76"/>
        <v>47674.6</v>
      </c>
      <c r="V175" s="434">
        <f t="shared" si="77"/>
        <v>58063.4</v>
      </c>
      <c r="W175" s="78"/>
      <c r="X175" s="675"/>
      <c r="Y175" s="78"/>
      <c r="Z175" s="675"/>
      <c r="AA175" s="78"/>
      <c r="AB175" s="675"/>
      <c r="AC175" s="78"/>
      <c r="AD175" s="675"/>
      <c r="AE175" s="256">
        <f t="shared" si="86"/>
        <v>0</v>
      </c>
      <c r="AF175" s="89">
        <f t="shared" si="87"/>
        <v>0</v>
      </c>
      <c r="AG175" s="257">
        <f t="shared" si="88"/>
        <v>0</v>
      </c>
      <c r="AH175" s="79">
        <f t="shared" si="89"/>
        <v>0</v>
      </c>
      <c r="AI175" s="78"/>
      <c r="AJ175" s="675"/>
      <c r="AK175" s="256">
        <f t="shared" si="90"/>
        <v>0</v>
      </c>
      <c r="AL175" s="434">
        <f t="shared" si="91"/>
        <v>0</v>
      </c>
      <c r="AM175" s="78"/>
      <c r="AN175" s="675"/>
      <c r="AO175" s="78"/>
      <c r="AP175" s="675"/>
      <c r="AQ175" s="78"/>
      <c r="AR175" s="675"/>
      <c r="AS175" s="78"/>
      <c r="AT175" s="675"/>
      <c r="AU175" s="258">
        <f t="shared" si="78"/>
        <v>0</v>
      </c>
      <c r="AV175" s="89">
        <f t="shared" si="79"/>
        <v>0</v>
      </c>
      <c r="AW175" s="257">
        <f t="shared" si="80"/>
        <v>0</v>
      </c>
      <c r="AX175" s="79">
        <f t="shared" si="81"/>
        <v>0</v>
      </c>
      <c r="AY175" s="259">
        <f t="shared" si="82"/>
        <v>1059.4355555555555</v>
      </c>
      <c r="AZ175" s="79">
        <f t="shared" si="83"/>
        <v>1290.2977777777778</v>
      </c>
      <c r="BA175" s="680"/>
    </row>
    <row r="176" spans="1:53">
      <c r="A176" s="293" t="s">
        <v>503</v>
      </c>
      <c r="B176" s="294" t="s">
        <v>529</v>
      </c>
      <c r="C176" s="293">
        <v>141255</v>
      </c>
      <c r="D176" s="269">
        <v>12</v>
      </c>
      <c r="E176" s="486" t="s">
        <v>505</v>
      </c>
      <c r="F176" s="149" t="s">
        <v>475</v>
      </c>
      <c r="G176" s="78">
        <v>24887</v>
      </c>
      <c r="H176" s="675">
        <v>27570</v>
      </c>
      <c r="I176" s="78">
        <v>22317</v>
      </c>
      <c r="J176" s="675">
        <v>26112</v>
      </c>
      <c r="K176" s="78">
        <v>19855</v>
      </c>
      <c r="L176" s="675">
        <v>27031</v>
      </c>
      <c r="M176" s="78">
        <v>24989</v>
      </c>
      <c r="N176" s="675">
        <v>39755</v>
      </c>
      <c r="O176" s="256">
        <f t="shared" si="84"/>
        <v>92048</v>
      </c>
      <c r="P176" s="89">
        <f t="shared" si="92"/>
        <v>2045.5111111111112</v>
      </c>
      <c r="Q176" s="257">
        <f t="shared" si="85"/>
        <v>120468</v>
      </c>
      <c r="R176" s="79">
        <f t="shared" si="93"/>
        <v>2677.0666666666666</v>
      </c>
      <c r="S176" s="78">
        <v>5452</v>
      </c>
      <c r="T176" s="690">
        <v>4044</v>
      </c>
      <c r="U176" s="256">
        <f t="shared" si="76"/>
        <v>92048</v>
      </c>
      <c r="V176" s="434">
        <f t="shared" si="77"/>
        <v>120468</v>
      </c>
      <c r="W176" s="78"/>
      <c r="X176" s="675"/>
      <c r="Y176" s="78"/>
      <c r="Z176" s="675"/>
      <c r="AA176" s="78"/>
      <c r="AB176" s="675"/>
      <c r="AC176" s="78"/>
      <c r="AD176" s="675"/>
      <c r="AE176" s="256">
        <f t="shared" si="86"/>
        <v>0</v>
      </c>
      <c r="AF176" s="89">
        <f t="shared" si="87"/>
        <v>0</v>
      </c>
      <c r="AG176" s="257">
        <f t="shared" si="88"/>
        <v>0</v>
      </c>
      <c r="AH176" s="79">
        <f t="shared" si="89"/>
        <v>0</v>
      </c>
      <c r="AI176" s="78"/>
      <c r="AJ176" s="675"/>
      <c r="AK176" s="256">
        <f t="shared" si="90"/>
        <v>0</v>
      </c>
      <c r="AL176" s="434">
        <f t="shared" si="91"/>
        <v>0</v>
      </c>
      <c r="AM176" s="78"/>
      <c r="AN176" s="675"/>
      <c r="AO176" s="78"/>
      <c r="AP176" s="675"/>
      <c r="AQ176" s="78"/>
      <c r="AR176" s="675"/>
      <c r="AS176" s="78"/>
      <c r="AT176" s="675"/>
      <c r="AU176" s="258">
        <f t="shared" si="78"/>
        <v>0</v>
      </c>
      <c r="AV176" s="89">
        <f t="shared" si="79"/>
        <v>0</v>
      </c>
      <c r="AW176" s="257">
        <f t="shared" si="80"/>
        <v>0</v>
      </c>
      <c r="AX176" s="79">
        <f t="shared" si="81"/>
        <v>0</v>
      </c>
      <c r="AY176" s="259">
        <f t="shared" si="82"/>
        <v>2045.5111111111112</v>
      </c>
      <c r="AZ176" s="79">
        <f t="shared" si="83"/>
        <v>2677.0666666666666</v>
      </c>
      <c r="BA176" s="680"/>
    </row>
    <row r="177" spans="1:53">
      <c r="A177" s="293" t="s">
        <v>503</v>
      </c>
      <c r="B177" s="294" t="s">
        <v>530</v>
      </c>
      <c r="C177" s="293">
        <v>139278</v>
      </c>
      <c r="D177" s="669">
        <v>12</v>
      </c>
      <c r="E177" s="486" t="s">
        <v>505</v>
      </c>
      <c r="F177" s="149" t="s">
        <v>475</v>
      </c>
      <c r="G177" s="78">
        <v>49219</v>
      </c>
      <c r="H177" s="675">
        <v>56799</v>
      </c>
      <c r="I177" s="78">
        <v>46167</v>
      </c>
      <c r="J177" s="675">
        <v>57881</v>
      </c>
      <c r="K177" s="78">
        <v>36504</v>
      </c>
      <c r="L177" s="675">
        <v>48349</v>
      </c>
      <c r="M177" s="78">
        <v>56398</v>
      </c>
      <c r="N177" s="675">
        <v>73402</v>
      </c>
      <c r="O177" s="256">
        <f t="shared" si="84"/>
        <v>188288</v>
      </c>
      <c r="P177" s="89">
        <f t="shared" si="92"/>
        <v>4184.1777777777779</v>
      </c>
      <c r="Q177" s="257">
        <f t="shared" si="85"/>
        <v>236431</v>
      </c>
      <c r="R177" s="79">
        <f t="shared" si="93"/>
        <v>5254.0222222222219</v>
      </c>
      <c r="S177" s="78">
        <v>8675</v>
      </c>
      <c r="T177" s="675">
        <v>9982.7999999999993</v>
      </c>
      <c r="U177" s="256">
        <f t="shared" si="76"/>
        <v>188288</v>
      </c>
      <c r="V177" s="434">
        <f t="shared" si="77"/>
        <v>236431</v>
      </c>
      <c r="W177" s="78"/>
      <c r="X177" s="675"/>
      <c r="Y177" s="78"/>
      <c r="Z177" s="675"/>
      <c r="AA177" s="78"/>
      <c r="AB177" s="675"/>
      <c r="AC177" s="78"/>
      <c r="AD177" s="675"/>
      <c r="AE177" s="256">
        <f t="shared" si="86"/>
        <v>0</v>
      </c>
      <c r="AF177" s="89">
        <f t="shared" si="87"/>
        <v>0</v>
      </c>
      <c r="AG177" s="257">
        <f t="shared" si="88"/>
        <v>0</v>
      </c>
      <c r="AH177" s="79">
        <f t="shared" si="89"/>
        <v>0</v>
      </c>
      <c r="AI177" s="78"/>
      <c r="AJ177" s="675"/>
      <c r="AK177" s="256">
        <f t="shared" si="90"/>
        <v>0</v>
      </c>
      <c r="AL177" s="434">
        <f t="shared" si="91"/>
        <v>0</v>
      </c>
      <c r="AM177" s="78"/>
      <c r="AN177" s="675"/>
      <c r="AO177" s="78"/>
      <c r="AP177" s="675"/>
      <c r="AQ177" s="78"/>
      <c r="AR177" s="675"/>
      <c r="AS177" s="78"/>
      <c r="AT177" s="675"/>
      <c r="AU177" s="258">
        <f t="shared" si="78"/>
        <v>0</v>
      </c>
      <c r="AV177" s="89">
        <f t="shared" si="79"/>
        <v>0</v>
      </c>
      <c r="AW177" s="257">
        <f t="shared" si="80"/>
        <v>0</v>
      </c>
      <c r="AX177" s="79">
        <f t="shared" si="81"/>
        <v>0</v>
      </c>
      <c r="AY177" s="259">
        <f t="shared" si="82"/>
        <v>4184.1777777777779</v>
      </c>
      <c r="AZ177" s="79">
        <f t="shared" si="83"/>
        <v>5254.0222222222219</v>
      </c>
      <c r="BA177" s="680"/>
    </row>
    <row r="178" spans="1:53">
      <c r="A178" s="295" t="s">
        <v>503</v>
      </c>
      <c r="B178" s="91" t="s">
        <v>506</v>
      </c>
      <c r="C178" s="487">
        <v>366447</v>
      </c>
      <c r="D178" s="97">
        <v>13</v>
      </c>
      <c r="E178" s="486" t="s">
        <v>505</v>
      </c>
      <c r="F178" s="149" t="s">
        <v>475</v>
      </c>
      <c r="G178" s="78">
        <v>8528</v>
      </c>
      <c r="H178" s="675">
        <v>8507</v>
      </c>
      <c r="I178" s="78">
        <v>8177</v>
      </c>
      <c r="J178" s="675">
        <v>9108</v>
      </c>
      <c r="K178" s="78">
        <v>7112</v>
      </c>
      <c r="L178" s="675">
        <v>12434</v>
      </c>
      <c r="M178" s="78">
        <v>8984</v>
      </c>
      <c r="N178" s="675">
        <v>16254</v>
      </c>
      <c r="O178" s="256">
        <f t="shared" si="84"/>
        <v>32801</v>
      </c>
      <c r="P178" s="89">
        <f t="shared" si="92"/>
        <v>728.91111111111115</v>
      </c>
      <c r="Q178" s="257">
        <f t="shared" si="85"/>
        <v>46303</v>
      </c>
      <c r="R178" s="79">
        <f t="shared" si="93"/>
        <v>1028.9555555555555</v>
      </c>
      <c r="S178" s="78">
        <v>2109</v>
      </c>
      <c r="T178" s="675">
        <v>3586.6</v>
      </c>
      <c r="U178" s="256">
        <f t="shared" si="76"/>
        <v>32801</v>
      </c>
      <c r="V178" s="434">
        <f t="shared" si="77"/>
        <v>46303</v>
      </c>
      <c r="W178" s="78"/>
      <c r="X178" s="675"/>
      <c r="Y178" s="78"/>
      <c r="Z178" s="675"/>
      <c r="AA178" s="78"/>
      <c r="AB178" s="675"/>
      <c r="AC178" s="78"/>
      <c r="AD178" s="675"/>
      <c r="AE178" s="256">
        <f t="shared" si="86"/>
        <v>0</v>
      </c>
      <c r="AF178" s="89">
        <f t="shared" si="87"/>
        <v>0</v>
      </c>
      <c r="AG178" s="257">
        <f t="shared" si="88"/>
        <v>0</v>
      </c>
      <c r="AH178" s="79">
        <f t="shared" si="89"/>
        <v>0</v>
      </c>
      <c r="AI178" s="78"/>
      <c r="AJ178" s="675"/>
      <c r="AK178" s="256">
        <f t="shared" si="90"/>
        <v>0</v>
      </c>
      <c r="AL178" s="434">
        <f t="shared" si="91"/>
        <v>0</v>
      </c>
      <c r="AM178" s="78"/>
      <c r="AN178" s="675"/>
      <c r="AO178" s="78"/>
      <c r="AP178" s="675"/>
      <c r="AQ178" s="78"/>
      <c r="AR178" s="675"/>
      <c r="AS178" s="78"/>
      <c r="AT178" s="675"/>
      <c r="AU178" s="258">
        <f t="shared" si="78"/>
        <v>0</v>
      </c>
      <c r="AV178" s="89">
        <f t="shared" si="79"/>
        <v>0</v>
      </c>
      <c r="AW178" s="257">
        <f t="shared" si="80"/>
        <v>0</v>
      </c>
      <c r="AX178" s="79">
        <f t="shared" si="81"/>
        <v>0</v>
      </c>
      <c r="AY178" s="259">
        <f t="shared" si="82"/>
        <v>728.91111111111115</v>
      </c>
      <c r="AZ178" s="79">
        <f t="shared" si="83"/>
        <v>1028.9555555555555</v>
      </c>
      <c r="BA178" s="680"/>
    </row>
    <row r="179" spans="1:53">
      <c r="A179" s="295" t="s">
        <v>503</v>
      </c>
      <c r="B179" s="91" t="s">
        <v>515</v>
      </c>
      <c r="C179" s="487">
        <v>248794</v>
      </c>
      <c r="D179" s="97">
        <v>13</v>
      </c>
      <c r="E179" s="486" t="s">
        <v>505</v>
      </c>
      <c r="F179" s="149" t="s">
        <v>475</v>
      </c>
      <c r="G179" s="78">
        <v>9185</v>
      </c>
      <c r="H179" s="675">
        <v>10096.799999999999</v>
      </c>
      <c r="I179" s="78">
        <v>9073</v>
      </c>
      <c r="J179" s="675">
        <v>10843.4</v>
      </c>
      <c r="K179" s="78">
        <v>8428</v>
      </c>
      <c r="L179" s="675">
        <v>8830.6</v>
      </c>
      <c r="M179" s="78">
        <v>10473</v>
      </c>
      <c r="N179" s="675">
        <v>10751.5</v>
      </c>
      <c r="O179" s="256">
        <f t="shared" si="84"/>
        <v>37159</v>
      </c>
      <c r="P179" s="89">
        <f t="shared" si="92"/>
        <v>825.75555555555559</v>
      </c>
      <c r="Q179" s="257">
        <f t="shared" si="85"/>
        <v>40522.299999999996</v>
      </c>
      <c r="R179" s="79">
        <f t="shared" si="93"/>
        <v>900.49555555555548</v>
      </c>
      <c r="S179" s="78">
        <v>1156</v>
      </c>
      <c r="T179" s="675">
        <v>644</v>
      </c>
      <c r="U179" s="256">
        <f t="shared" si="76"/>
        <v>37159</v>
      </c>
      <c r="V179" s="434">
        <f t="shared" si="77"/>
        <v>40522.299999999996</v>
      </c>
      <c r="W179" s="78"/>
      <c r="X179" s="675"/>
      <c r="Y179" s="78"/>
      <c r="Z179" s="675"/>
      <c r="AA179" s="78"/>
      <c r="AB179" s="675"/>
      <c r="AC179" s="78"/>
      <c r="AD179" s="675"/>
      <c r="AE179" s="256">
        <f t="shared" si="86"/>
        <v>0</v>
      </c>
      <c r="AF179" s="89">
        <f t="shared" si="87"/>
        <v>0</v>
      </c>
      <c r="AG179" s="257">
        <f t="shared" si="88"/>
        <v>0</v>
      </c>
      <c r="AH179" s="79">
        <f t="shared" si="89"/>
        <v>0</v>
      </c>
      <c r="AI179" s="78"/>
      <c r="AJ179" s="675"/>
      <c r="AK179" s="256">
        <f t="shared" si="90"/>
        <v>0</v>
      </c>
      <c r="AL179" s="434">
        <f t="shared" si="91"/>
        <v>0</v>
      </c>
      <c r="AM179" s="78"/>
      <c r="AN179" s="675"/>
      <c r="AO179" s="78"/>
      <c r="AP179" s="675"/>
      <c r="AQ179" s="78"/>
      <c r="AR179" s="675"/>
      <c r="AS179" s="78"/>
      <c r="AT179" s="675"/>
      <c r="AU179" s="258">
        <f t="shared" si="78"/>
        <v>0</v>
      </c>
      <c r="AV179" s="89">
        <f t="shared" si="79"/>
        <v>0</v>
      </c>
      <c r="AW179" s="257">
        <f t="shared" si="80"/>
        <v>0</v>
      </c>
      <c r="AX179" s="79">
        <f t="shared" si="81"/>
        <v>0</v>
      </c>
      <c r="AY179" s="259">
        <f t="shared" si="82"/>
        <v>825.75555555555559</v>
      </c>
      <c r="AZ179" s="79">
        <f t="shared" si="83"/>
        <v>900.49555555555548</v>
      </c>
      <c r="BA179" s="680"/>
    </row>
    <row r="180" spans="1:53">
      <c r="A180" s="293" t="s">
        <v>503</v>
      </c>
      <c r="B180" s="90" t="s">
        <v>531</v>
      </c>
      <c r="C180" s="293">
        <v>420431</v>
      </c>
      <c r="D180" s="269">
        <v>13</v>
      </c>
      <c r="E180" s="486" t="s">
        <v>505</v>
      </c>
      <c r="F180" s="149" t="s">
        <v>475</v>
      </c>
      <c r="G180" s="78">
        <v>6349</v>
      </c>
      <c r="H180" s="675">
        <v>7535</v>
      </c>
      <c r="I180" s="78">
        <v>5833</v>
      </c>
      <c r="J180" s="675">
        <v>7575</v>
      </c>
      <c r="K180" s="78">
        <v>5712</v>
      </c>
      <c r="L180" s="675">
        <v>8048</v>
      </c>
      <c r="M180" s="78">
        <v>7671</v>
      </c>
      <c r="N180" s="675">
        <v>10342</v>
      </c>
      <c r="O180" s="256">
        <f t="shared" si="84"/>
        <v>25565</v>
      </c>
      <c r="P180" s="89">
        <f t="shared" si="92"/>
        <v>568.11111111111109</v>
      </c>
      <c r="Q180" s="257">
        <f t="shared" si="85"/>
        <v>33500</v>
      </c>
      <c r="R180" s="79">
        <f t="shared" si="93"/>
        <v>744.44444444444446</v>
      </c>
      <c r="S180" s="78">
        <v>3714</v>
      </c>
      <c r="T180" s="675">
        <v>4223</v>
      </c>
      <c r="U180" s="256">
        <f t="shared" si="76"/>
        <v>25565</v>
      </c>
      <c r="V180" s="434">
        <f t="shared" si="77"/>
        <v>33500</v>
      </c>
      <c r="W180" s="78"/>
      <c r="X180" s="675"/>
      <c r="Y180" s="78"/>
      <c r="Z180" s="675"/>
      <c r="AA180" s="78"/>
      <c r="AB180" s="675"/>
      <c r="AC180" s="78"/>
      <c r="AD180" s="675"/>
      <c r="AE180" s="256">
        <f t="shared" si="86"/>
        <v>0</v>
      </c>
      <c r="AF180" s="89">
        <f t="shared" si="87"/>
        <v>0</v>
      </c>
      <c r="AG180" s="257">
        <f t="shared" si="88"/>
        <v>0</v>
      </c>
      <c r="AH180" s="79">
        <f t="shared" si="89"/>
        <v>0</v>
      </c>
      <c r="AI180" s="78"/>
      <c r="AJ180" s="675"/>
      <c r="AK180" s="256">
        <f t="shared" si="90"/>
        <v>0</v>
      </c>
      <c r="AL180" s="434">
        <f t="shared" si="91"/>
        <v>0</v>
      </c>
      <c r="AM180" s="78"/>
      <c r="AN180" s="675"/>
      <c r="AO180" s="78"/>
      <c r="AP180" s="675"/>
      <c r="AQ180" s="78"/>
      <c r="AR180" s="675"/>
      <c r="AS180" s="78"/>
      <c r="AT180" s="675"/>
      <c r="AU180" s="258">
        <f t="shared" si="78"/>
        <v>0</v>
      </c>
      <c r="AV180" s="89">
        <f t="shared" si="79"/>
        <v>0</v>
      </c>
      <c r="AW180" s="257">
        <f t="shared" si="80"/>
        <v>0</v>
      </c>
      <c r="AX180" s="79">
        <f t="shared" si="81"/>
        <v>0</v>
      </c>
      <c r="AY180" s="259">
        <f t="shared" si="82"/>
        <v>568.11111111111109</v>
      </c>
      <c r="AZ180" s="79">
        <f t="shared" si="83"/>
        <v>744.44444444444446</v>
      </c>
      <c r="BA180" s="680"/>
    </row>
    <row r="181" spans="1:53">
      <c r="A181" s="283" t="s">
        <v>148</v>
      </c>
      <c r="B181" s="284" t="s">
        <v>149</v>
      </c>
      <c r="C181" s="283">
        <v>157085</v>
      </c>
      <c r="D181" s="155">
        <v>1</v>
      </c>
      <c r="E181" s="148" t="s">
        <v>393</v>
      </c>
      <c r="F181" s="149" t="s">
        <v>393</v>
      </c>
      <c r="G181" s="78"/>
      <c r="H181" s="675"/>
      <c r="I181" s="78">
        <v>232649</v>
      </c>
      <c r="J181" s="675">
        <v>237140</v>
      </c>
      <c r="K181" s="78">
        <v>23528</v>
      </c>
      <c r="L181" s="675">
        <v>23054</v>
      </c>
      <c r="M181" s="78">
        <v>258465</v>
      </c>
      <c r="N181" s="675">
        <v>261424</v>
      </c>
      <c r="O181" s="256">
        <f t="shared" si="84"/>
        <v>514642</v>
      </c>
      <c r="P181" s="89">
        <f t="shared" ref="P181:P187" si="94">+O181/30</f>
        <v>17154.733333333334</v>
      </c>
      <c r="Q181" s="257">
        <f t="shared" si="85"/>
        <v>521618</v>
      </c>
      <c r="R181" s="79">
        <f t="shared" ref="R181:R187" si="95">+Q181/30</f>
        <v>17387.266666666666</v>
      </c>
      <c r="S181" s="78">
        <v>71</v>
      </c>
      <c r="T181" s="675">
        <v>291</v>
      </c>
      <c r="U181" s="256">
        <f t="shared" si="76"/>
        <v>514642</v>
      </c>
      <c r="V181" s="434">
        <f t="shared" si="77"/>
        <v>521618</v>
      </c>
      <c r="W181" s="78"/>
      <c r="X181" s="675"/>
      <c r="Y181" s="78"/>
      <c r="Z181" s="675"/>
      <c r="AA181" s="78"/>
      <c r="AB181" s="675"/>
      <c r="AC181" s="78"/>
      <c r="AD181" s="675"/>
      <c r="AE181" s="256">
        <f t="shared" si="86"/>
        <v>0</v>
      </c>
      <c r="AF181" s="89">
        <f t="shared" si="87"/>
        <v>0</v>
      </c>
      <c r="AG181" s="257">
        <f t="shared" si="88"/>
        <v>0</v>
      </c>
      <c r="AH181" s="79">
        <f t="shared" si="89"/>
        <v>0</v>
      </c>
      <c r="AI181" s="78"/>
      <c r="AJ181" s="675"/>
      <c r="AK181" s="256">
        <f t="shared" si="90"/>
        <v>0</v>
      </c>
      <c r="AL181" s="434">
        <f t="shared" si="91"/>
        <v>0</v>
      </c>
      <c r="AM181" s="78"/>
      <c r="AN181" s="675"/>
      <c r="AO181" s="78">
        <v>36015</v>
      </c>
      <c r="AP181" s="675">
        <v>36502</v>
      </c>
      <c r="AQ181" s="78">
        <v>5964</v>
      </c>
      <c r="AR181" s="675">
        <v>6205</v>
      </c>
      <c r="AS181" s="78">
        <v>39054</v>
      </c>
      <c r="AT181" s="675">
        <v>39918</v>
      </c>
      <c r="AU181" s="258">
        <f t="shared" si="78"/>
        <v>81033</v>
      </c>
      <c r="AV181" s="89">
        <f t="shared" si="79"/>
        <v>3376.375</v>
      </c>
      <c r="AW181" s="257">
        <f t="shared" si="80"/>
        <v>82625</v>
      </c>
      <c r="AX181" s="79">
        <f t="shared" si="81"/>
        <v>3442.7083333333335</v>
      </c>
      <c r="AY181" s="259">
        <f t="shared" si="82"/>
        <v>20531.108333333334</v>
      </c>
      <c r="AZ181" s="79">
        <f t="shared" si="83"/>
        <v>20829.974999999999</v>
      </c>
      <c r="BA181" s="680"/>
    </row>
    <row r="182" spans="1:53">
      <c r="A182" s="283" t="s">
        <v>148</v>
      </c>
      <c r="B182" s="284" t="s">
        <v>150</v>
      </c>
      <c r="C182" s="283">
        <v>157289</v>
      </c>
      <c r="D182" s="155">
        <v>1</v>
      </c>
      <c r="E182" s="148" t="s">
        <v>393</v>
      </c>
      <c r="F182" s="149" t="s">
        <v>393</v>
      </c>
      <c r="G182" s="78"/>
      <c r="H182" s="675"/>
      <c r="I182" s="78">
        <v>169329</v>
      </c>
      <c r="J182" s="675">
        <v>170062</v>
      </c>
      <c r="K182" s="78">
        <v>36471</v>
      </c>
      <c r="L182" s="675">
        <v>34642</v>
      </c>
      <c r="M182" s="78">
        <v>182122</v>
      </c>
      <c r="N182" s="675">
        <v>184831</v>
      </c>
      <c r="O182" s="256">
        <f t="shared" si="84"/>
        <v>387922</v>
      </c>
      <c r="P182" s="89">
        <f t="shared" si="94"/>
        <v>12930.733333333334</v>
      </c>
      <c r="Q182" s="257">
        <f t="shared" si="85"/>
        <v>389535</v>
      </c>
      <c r="R182" s="79">
        <f t="shared" si="95"/>
        <v>12984.5</v>
      </c>
      <c r="S182" s="78">
        <v>1019</v>
      </c>
      <c r="T182" s="675">
        <v>1052</v>
      </c>
      <c r="U182" s="256">
        <f t="shared" si="76"/>
        <v>387922</v>
      </c>
      <c r="V182" s="434">
        <f t="shared" si="77"/>
        <v>389535</v>
      </c>
      <c r="W182" s="78"/>
      <c r="X182" s="675"/>
      <c r="Y182" s="78"/>
      <c r="Z182" s="675"/>
      <c r="AA182" s="78"/>
      <c r="AB182" s="675"/>
      <c r="AC182" s="78"/>
      <c r="AD182" s="675"/>
      <c r="AE182" s="256">
        <f t="shared" si="86"/>
        <v>0</v>
      </c>
      <c r="AF182" s="89">
        <f t="shared" si="87"/>
        <v>0</v>
      </c>
      <c r="AG182" s="257">
        <f t="shared" si="88"/>
        <v>0</v>
      </c>
      <c r="AH182" s="79">
        <f t="shared" si="89"/>
        <v>0</v>
      </c>
      <c r="AI182" s="78"/>
      <c r="AJ182" s="675"/>
      <c r="AK182" s="256">
        <f t="shared" si="90"/>
        <v>0</v>
      </c>
      <c r="AL182" s="434">
        <f t="shared" si="91"/>
        <v>0</v>
      </c>
      <c r="AM182" s="78"/>
      <c r="AN182" s="675"/>
      <c r="AO182" s="78">
        <v>34045</v>
      </c>
      <c r="AP182" s="675">
        <v>32324</v>
      </c>
      <c r="AQ182" s="78">
        <v>12355</v>
      </c>
      <c r="AR182" s="675">
        <v>12270</v>
      </c>
      <c r="AS182" s="78">
        <v>33313</v>
      </c>
      <c r="AT182" s="675">
        <v>34018</v>
      </c>
      <c r="AU182" s="258">
        <f t="shared" ref="AU182:AU241" si="96">SUM(AM182,AO182,AQ182,AS182)</f>
        <v>79713</v>
      </c>
      <c r="AV182" s="89">
        <f t="shared" ref="AV182:AV205" si="97">+AU182/24</f>
        <v>3321.375</v>
      </c>
      <c r="AW182" s="257">
        <f t="shared" ref="AW182:AW241" si="98">SUM(AN182,AP182,AR182,AT182)</f>
        <v>78612</v>
      </c>
      <c r="AX182" s="79">
        <f t="shared" ref="AX182:AX241" si="99">+AW182/24</f>
        <v>3275.5</v>
      </c>
      <c r="AY182" s="259">
        <f t="shared" ref="AY182:AY241" si="100">SUM(P182,AF182,AV182)</f>
        <v>16252.108333333334</v>
      </c>
      <c r="AZ182" s="79">
        <f t="shared" ref="AZ182:AZ241" si="101">SUM(R182,AH182,AX182)</f>
        <v>16260</v>
      </c>
      <c r="BA182" s="680"/>
    </row>
    <row r="183" spans="1:53">
      <c r="A183" s="283" t="s">
        <v>148</v>
      </c>
      <c r="B183" s="284" t="s">
        <v>151</v>
      </c>
      <c r="C183" s="283">
        <v>156620</v>
      </c>
      <c r="D183" s="155">
        <v>3</v>
      </c>
      <c r="E183" s="148" t="s">
        <v>393</v>
      </c>
      <c r="F183" s="149" t="s">
        <v>393</v>
      </c>
      <c r="G183" s="78"/>
      <c r="H183" s="675"/>
      <c r="I183" s="78">
        <v>162654</v>
      </c>
      <c r="J183" s="675">
        <v>166304</v>
      </c>
      <c r="K183" s="78">
        <v>22404</v>
      </c>
      <c r="L183" s="675">
        <v>24021</v>
      </c>
      <c r="M183" s="78">
        <v>178521</v>
      </c>
      <c r="N183" s="675">
        <v>184706</v>
      </c>
      <c r="O183" s="256">
        <f t="shared" si="84"/>
        <v>363579</v>
      </c>
      <c r="P183" s="89">
        <f t="shared" si="94"/>
        <v>12119.3</v>
      </c>
      <c r="Q183" s="257">
        <f t="shared" si="85"/>
        <v>375031</v>
      </c>
      <c r="R183" s="79">
        <f t="shared" si="95"/>
        <v>12501.033333333333</v>
      </c>
      <c r="S183" s="78">
        <v>3251</v>
      </c>
      <c r="T183" s="675">
        <v>3002</v>
      </c>
      <c r="U183" s="256">
        <f t="shared" si="76"/>
        <v>363579</v>
      </c>
      <c r="V183" s="434">
        <f t="shared" si="77"/>
        <v>375031</v>
      </c>
      <c r="W183" s="78"/>
      <c r="X183" s="675"/>
      <c r="Y183" s="78"/>
      <c r="Z183" s="675"/>
      <c r="AA183" s="78"/>
      <c r="AB183" s="675"/>
      <c r="AC183" s="78"/>
      <c r="AD183" s="675"/>
      <c r="AE183" s="256">
        <f t="shared" ref="AE183:AE241" si="102">SUM(W183,Y183,AA183,AC183)</f>
        <v>0</v>
      </c>
      <c r="AF183" s="89">
        <f t="shared" ref="AF183:AF241" si="103">+AE183/900</f>
        <v>0</v>
      </c>
      <c r="AG183" s="257">
        <f t="shared" ref="AG183:AG241" si="104">SUM(X183,Z183,AB183,AD183)</f>
        <v>0</v>
      </c>
      <c r="AH183" s="79">
        <f t="shared" ref="AH183:AH241" si="105">+AG183/900</f>
        <v>0</v>
      </c>
      <c r="AI183" s="78"/>
      <c r="AJ183" s="675"/>
      <c r="AK183" s="256">
        <f t="shared" si="90"/>
        <v>0</v>
      </c>
      <c r="AL183" s="434">
        <f t="shared" si="91"/>
        <v>0</v>
      </c>
      <c r="AM183" s="78"/>
      <c r="AN183" s="675"/>
      <c r="AO183" s="78">
        <v>13926</v>
      </c>
      <c r="AP183" s="675">
        <v>12548</v>
      </c>
      <c r="AQ183" s="78">
        <v>8649</v>
      </c>
      <c r="AR183" s="675">
        <v>8925</v>
      </c>
      <c r="AS183" s="78">
        <v>14221</v>
      </c>
      <c r="AT183" s="675">
        <v>14606</v>
      </c>
      <c r="AU183" s="258">
        <f t="shared" si="96"/>
        <v>36796</v>
      </c>
      <c r="AV183" s="89">
        <f t="shared" si="97"/>
        <v>1533.1666666666667</v>
      </c>
      <c r="AW183" s="257">
        <f t="shared" si="98"/>
        <v>36079</v>
      </c>
      <c r="AX183" s="79">
        <f t="shared" si="99"/>
        <v>1503.2916666666667</v>
      </c>
      <c r="AY183" s="259">
        <f t="shared" si="100"/>
        <v>13652.466666666665</v>
      </c>
      <c r="AZ183" s="79">
        <f t="shared" si="101"/>
        <v>14004.324999999999</v>
      </c>
      <c r="BA183" s="680"/>
    </row>
    <row r="184" spans="1:53">
      <c r="A184" s="283" t="s">
        <v>148</v>
      </c>
      <c r="B184" s="284" t="s">
        <v>152</v>
      </c>
      <c r="C184" s="283">
        <v>157401</v>
      </c>
      <c r="D184" s="155">
        <v>3</v>
      </c>
      <c r="E184" s="148" t="s">
        <v>393</v>
      </c>
      <c r="F184" s="149" t="s">
        <v>393</v>
      </c>
      <c r="G184" s="78"/>
      <c r="H184" s="675"/>
      <c r="I184" s="78">
        <v>103294</v>
      </c>
      <c r="J184" s="675">
        <v>101357</v>
      </c>
      <c r="K184" s="78">
        <v>12382</v>
      </c>
      <c r="L184" s="675">
        <v>11044</v>
      </c>
      <c r="M184" s="78">
        <v>110391</v>
      </c>
      <c r="N184" s="675">
        <v>107502</v>
      </c>
      <c r="O184" s="256">
        <f t="shared" si="84"/>
        <v>226067</v>
      </c>
      <c r="P184" s="89">
        <f t="shared" si="94"/>
        <v>7535.5666666666666</v>
      </c>
      <c r="Q184" s="257">
        <f t="shared" si="85"/>
        <v>219903</v>
      </c>
      <c r="R184" s="79">
        <f t="shared" si="95"/>
        <v>7330.1</v>
      </c>
      <c r="S184" s="78">
        <v>1048</v>
      </c>
      <c r="T184" s="675">
        <v>954</v>
      </c>
      <c r="U184" s="256">
        <f t="shared" si="76"/>
        <v>226067</v>
      </c>
      <c r="V184" s="434">
        <f t="shared" si="77"/>
        <v>219903</v>
      </c>
      <c r="W184" s="78"/>
      <c r="X184" s="675"/>
      <c r="Y184" s="78"/>
      <c r="Z184" s="675"/>
      <c r="AA184" s="78"/>
      <c r="AB184" s="675"/>
      <c r="AC184" s="78"/>
      <c r="AD184" s="675"/>
      <c r="AE184" s="256">
        <f t="shared" si="102"/>
        <v>0</v>
      </c>
      <c r="AF184" s="89">
        <f t="shared" si="103"/>
        <v>0</v>
      </c>
      <c r="AG184" s="257">
        <f t="shared" si="104"/>
        <v>0</v>
      </c>
      <c r="AH184" s="79">
        <f t="shared" si="105"/>
        <v>0</v>
      </c>
      <c r="AI184" s="78"/>
      <c r="AJ184" s="675"/>
      <c r="AK184" s="256">
        <f t="shared" si="90"/>
        <v>0</v>
      </c>
      <c r="AL184" s="434">
        <f t="shared" si="91"/>
        <v>0</v>
      </c>
      <c r="AM184" s="78"/>
      <c r="AN184" s="675"/>
      <c r="AO184" s="78">
        <v>11468</v>
      </c>
      <c r="AP184" s="675">
        <v>11525</v>
      </c>
      <c r="AQ184" s="78">
        <v>6077</v>
      </c>
      <c r="AR184" s="675">
        <v>5247</v>
      </c>
      <c r="AS184" s="78">
        <v>11765</v>
      </c>
      <c r="AT184" s="675">
        <v>12099</v>
      </c>
      <c r="AU184" s="258">
        <f t="shared" si="96"/>
        <v>29310</v>
      </c>
      <c r="AV184" s="89">
        <f t="shared" si="97"/>
        <v>1221.25</v>
      </c>
      <c r="AW184" s="257">
        <f t="shared" si="98"/>
        <v>28871</v>
      </c>
      <c r="AX184" s="79">
        <f t="shared" si="99"/>
        <v>1202.9583333333333</v>
      </c>
      <c r="AY184" s="259">
        <f t="shared" si="100"/>
        <v>8756.8166666666657</v>
      </c>
      <c r="AZ184" s="79">
        <f t="shared" si="101"/>
        <v>8533.0583333333343</v>
      </c>
      <c r="BA184" s="680"/>
    </row>
    <row r="185" spans="1:53">
      <c r="A185" s="283" t="s">
        <v>148</v>
      </c>
      <c r="B185" s="284" t="s">
        <v>153</v>
      </c>
      <c r="C185" s="283">
        <v>157951</v>
      </c>
      <c r="D185" s="155">
        <v>3</v>
      </c>
      <c r="E185" s="148" t="s">
        <v>393</v>
      </c>
      <c r="F185" s="149" t="s">
        <v>393</v>
      </c>
      <c r="G185" s="78"/>
      <c r="H185" s="675"/>
      <c r="I185" s="78">
        <v>198343</v>
      </c>
      <c r="J185" s="675">
        <v>206195</v>
      </c>
      <c r="K185" s="78">
        <v>22630</v>
      </c>
      <c r="L185" s="675">
        <v>22379</v>
      </c>
      <c r="M185" s="78">
        <v>215647</v>
      </c>
      <c r="N185" s="675">
        <v>224065</v>
      </c>
      <c r="O185" s="256">
        <f t="shared" si="84"/>
        <v>436620</v>
      </c>
      <c r="P185" s="89">
        <f t="shared" si="94"/>
        <v>14554</v>
      </c>
      <c r="Q185" s="257">
        <f t="shared" si="85"/>
        <v>452639</v>
      </c>
      <c r="R185" s="79">
        <f t="shared" si="95"/>
        <v>15087.966666666667</v>
      </c>
      <c r="S185" s="78">
        <v>10328</v>
      </c>
      <c r="T185" s="675">
        <v>10770</v>
      </c>
      <c r="U185" s="256">
        <f t="shared" si="76"/>
        <v>436620</v>
      </c>
      <c r="V185" s="434">
        <f t="shared" si="77"/>
        <v>452639</v>
      </c>
      <c r="W185" s="78"/>
      <c r="X185" s="675"/>
      <c r="Y185" s="78"/>
      <c r="Z185" s="675"/>
      <c r="AA185" s="78"/>
      <c r="AB185" s="675"/>
      <c r="AC185" s="78"/>
      <c r="AD185" s="675"/>
      <c r="AE185" s="256">
        <f t="shared" si="102"/>
        <v>0</v>
      </c>
      <c r="AF185" s="89">
        <f t="shared" si="103"/>
        <v>0</v>
      </c>
      <c r="AG185" s="257">
        <f t="shared" si="104"/>
        <v>0</v>
      </c>
      <c r="AH185" s="79">
        <f t="shared" si="105"/>
        <v>0</v>
      </c>
      <c r="AI185" s="78"/>
      <c r="AJ185" s="675"/>
      <c r="AK185" s="256">
        <f t="shared" si="90"/>
        <v>0</v>
      </c>
      <c r="AL185" s="434">
        <f t="shared" si="91"/>
        <v>0</v>
      </c>
      <c r="AM185" s="78"/>
      <c r="AN185" s="675"/>
      <c r="AO185" s="78">
        <v>19330</v>
      </c>
      <c r="AP185" s="675">
        <v>18724</v>
      </c>
      <c r="AQ185" s="78">
        <v>9179</v>
      </c>
      <c r="AR185" s="675">
        <v>10039</v>
      </c>
      <c r="AS185" s="78">
        <v>20270</v>
      </c>
      <c r="AT185" s="675">
        <v>19774</v>
      </c>
      <c r="AU185" s="258">
        <f t="shared" si="96"/>
        <v>48779</v>
      </c>
      <c r="AV185" s="89">
        <f t="shared" si="97"/>
        <v>2032.4583333333333</v>
      </c>
      <c r="AW185" s="257">
        <f t="shared" si="98"/>
        <v>48537</v>
      </c>
      <c r="AX185" s="79">
        <f t="shared" si="99"/>
        <v>2022.375</v>
      </c>
      <c r="AY185" s="259">
        <f t="shared" si="100"/>
        <v>16586.458333333332</v>
      </c>
      <c r="AZ185" s="79">
        <f t="shared" si="101"/>
        <v>17110.341666666667</v>
      </c>
      <c r="BA185" s="680"/>
    </row>
    <row r="186" spans="1:53">
      <c r="A186" s="283" t="s">
        <v>148</v>
      </c>
      <c r="B186" s="284" t="s">
        <v>154</v>
      </c>
      <c r="C186" s="283">
        <v>157386</v>
      </c>
      <c r="D186" s="155">
        <v>4</v>
      </c>
      <c r="E186" s="148" t="s">
        <v>393</v>
      </c>
      <c r="F186" s="149" t="s">
        <v>393</v>
      </c>
      <c r="G186" s="78"/>
      <c r="H186" s="675"/>
      <c r="I186" s="78">
        <v>85653</v>
      </c>
      <c r="J186" s="675">
        <v>83879</v>
      </c>
      <c r="K186" s="78">
        <v>10560</v>
      </c>
      <c r="L186" s="675">
        <v>10998</v>
      </c>
      <c r="M186" s="78">
        <v>91603</v>
      </c>
      <c r="N186" s="675">
        <v>91375</v>
      </c>
      <c r="O186" s="256">
        <f t="shared" si="84"/>
        <v>187816</v>
      </c>
      <c r="P186" s="89">
        <f t="shared" si="94"/>
        <v>6260.5333333333338</v>
      </c>
      <c r="Q186" s="257">
        <f t="shared" si="85"/>
        <v>186252</v>
      </c>
      <c r="R186" s="79">
        <f t="shared" si="95"/>
        <v>6208.4</v>
      </c>
      <c r="S186" s="78">
        <v>2604</v>
      </c>
      <c r="T186" s="675">
        <v>2668</v>
      </c>
      <c r="U186" s="256">
        <f t="shared" si="76"/>
        <v>187816</v>
      </c>
      <c r="V186" s="434">
        <f t="shared" si="77"/>
        <v>186252</v>
      </c>
      <c r="W186" s="78"/>
      <c r="X186" s="675"/>
      <c r="Y186" s="78"/>
      <c r="Z186" s="675"/>
      <c r="AA186" s="78"/>
      <c r="AB186" s="675"/>
      <c r="AC186" s="78"/>
      <c r="AD186" s="675"/>
      <c r="AE186" s="256">
        <f t="shared" si="102"/>
        <v>0</v>
      </c>
      <c r="AF186" s="89">
        <f t="shared" si="103"/>
        <v>0</v>
      </c>
      <c r="AG186" s="257">
        <f t="shared" si="104"/>
        <v>0</v>
      </c>
      <c r="AH186" s="79">
        <f t="shared" si="105"/>
        <v>0</v>
      </c>
      <c r="AI186" s="78"/>
      <c r="AJ186" s="675"/>
      <c r="AK186" s="256">
        <f t="shared" ref="AK186:AK241" si="106">IF(OR(ISBLANK(AI186),(AI186="—")),0,AE186)</f>
        <v>0</v>
      </c>
      <c r="AL186" s="434">
        <f t="shared" ref="AL186:AL241" si="107">IF(OR(ISBLANK(AJ186),(AJ186="—")),0,AG186)</f>
        <v>0</v>
      </c>
      <c r="AM186" s="78"/>
      <c r="AN186" s="675"/>
      <c r="AO186" s="78">
        <v>8697</v>
      </c>
      <c r="AP186" s="675">
        <v>8329</v>
      </c>
      <c r="AQ186" s="78">
        <v>5431</v>
      </c>
      <c r="AR186" s="675">
        <v>5565</v>
      </c>
      <c r="AS186" s="78">
        <v>8520</v>
      </c>
      <c r="AT186" s="675">
        <v>8527</v>
      </c>
      <c r="AU186" s="258">
        <f t="shared" si="96"/>
        <v>22648</v>
      </c>
      <c r="AV186" s="89">
        <f t="shared" si="97"/>
        <v>943.66666666666663</v>
      </c>
      <c r="AW186" s="257">
        <f t="shared" si="98"/>
        <v>22421</v>
      </c>
      <c r="AX186" s="79">
        <f t="shared" si="99"/>
        <v>934.20833333333337</v>
      </c>
      <c r="AY186" s="259">
        <f t="shared" si="100"/>
        <v>7204.2000000000007</v>
      </c>
      <c r="AZ186" s="79">
        <f t="shared" si="101"/>
        <v>7142.6083333333327</v>
      </c>
      <c r="BA186" s="680"/>
    </row>
    <row r="187" spans="1:53">
      <c r="A187" s="283" t="s">
        <v>148</v>
      </c>
      <c r="B187" s="284" t="s">
        <v>155</v>
      </c>
      <c r="C187" s="283">
        <v>157447</v>
      </c>
      <c r="D187" s="155">
        <v>4</v>
      </c>
      <c r="E187" s="148" t="s">
        <v>393</v>
      </c>
      <c r="F187" s="149" t="s">
        <v>393</v>
      </c>
      <c r="G187" s="78"/>
      <c r="H187" s="675"/>
      <c r="I187" s="78">
        <v>145575</v>
      </c>
      <c r="J187" s="675">
        <v>146064</v>
      </c>
      <c r="K187" s="78">
        <v>20141</v>
      </c>
      <c r="L187" s="675">
        <v>20691</v>
      </c>
      <c r="M187" s="78">
        <v>157920</v>
      </c>
      <c r="N187" s="675">
        <v>162769</v>
      </c>
      <c r="O187" s="256">
        <f t="shared" si="84"/>
        <v>323636</v>
      </c>
      <c r="P187" s="89">
        <f t="shared" si="94"/>
        <v>10787.866666666667</v>
      </c>
      <c r="Q187" s="257">
        <f t="shared" si="85"/>
        <v>329524</v>
      </c>
      <c r="R187" s="79">
        <f t="shared" si="95"/>
        <v>10984.133333333333</v>
      </c>
      <c r="S187" s="78">
        <v>3176</v>
      </c>
      <c r="T187" s="675">
        <v>3286</v>
      </c>
      <c r="U187" s="256">
        <f t="shared" si="76"/>
        <v>323636</v>
      </c>
      <c r="V187" s="434">
        <f t="shared" si="77"/>
        <v>329524</v>
      </c>
      <c r="W187" s="78"/>
      <c r="X187" s="675"/>
      <c r="Y187" s="78"/>
      <c r="Z187" s="675"/>
      <c r="AA187" s="78"/>
      <c r="AB187" s="675"/>
      <c r="AC187" s="78"/>
      <c r="AD187" s="675"/>
      <c r="AE187" s="256">
        <f t="shared" si="102"/>
        <v>0</v>
      </c>
      <c r="AF187" s="89">
        <f t="shared" si="103"/>
        <v>0</v>
      </c>
      <c r="AG187" s="257">
        <f t="shared" si="104"/>
        <v>0</v>
      </c>
      <c r="AH187" s="79">
        <f t="shared" si="105"/>
        <v>0</v>
      </c>
      <c r="AI187" s="78"/>
      <c r="AJ187" s="675"/>
      <c r="AK187" s="256">
        <f t="shared" si="106"/>
        <v>0</v>
      </c>
      <c r="AL187" s="434">
        <f t="shared" si="107"/>
        <v>0</v>
      </c>
      <c r="AM187" s="78"/>
      <c r="AN187" s="675"/>
      <c r="AO187" s="78">
        <v>15110</v>
      </c>
      <c r="AP187" s="675">
        <v>15533</v>
      </c>
      <c r="AQ187" s="78">
        <v>6903</v>
      </c>
      <c r="AR187" s="675">
        <v>7041</v>
      </c>
      <c r="AS187" s="78">
        <v>15504</v>
      </c>
      <c r="AT187" s="675">
        <v>16458</v>
      </c>
      <c r="AU187" s="258">
        <f t="shared" si="96"/>
        <v>37517</v>
      </c>
      <c r="AV187" s="89">
        <f t="shared" si="97"/>
        <v>1563.2083333333333</v>
      </c>
      <c r="AW187" s="257">
        <f t="shared" si="98"/>
        <v>39032</v>
      </c>
      <c r="AX187" s="79">
        <f t="shared" si="99"/>
        <v>1626.3333333333333</v>
      </c>
      <c r="AY187" s="259">
        <f t="shared" si="100"/>
        <v>12351.075000000001</v>
      </c>
      <c r="AZ187" s="79">
        <f t="shared" si="101"/>
        <v>12610.466666666667</v>
      </c>
      <c r="BA187" s="680"/>
    </row>
    <row r="188" spans="1:53">
      <c r="A188" s="283" t="s">
        <v>148</v>
      </c>
      <c r="B188" s="284" t="s">
        <v>156</v>
      </c>
      <c r="C188" s="283">
        <v>157058</v>
      </c>
      <c r="D188" s="155">
        <v>5</v>
      </c>
      <c r="E188" s="148" t="s">
        <v>393</v>
      </c>
      <c r="F188" s="149" t="s">
        <v>393</v>
      </c>
      <c r="G188" s="78"/>
      <c r="H188" s="675"/>
      <c r="I188" s="78">
        <v>27681</v>
      </c>
      <c r="J188" s="675">
        <v>26801</v>
      </c>
      <c r="K188" s="78">
        <v>4092</v>
      </c>
      <c r="L188" s="675">
        <v>3990</v>
      </c>
      <c r="M188" s="78">
        <v>30555</v>
      </c>
      <c r="N188" s="675">
        <v>32389</v>
      </c>
      <c r="O188" s="256">
        <f t="shared" ref="O188:O241" si="108">SUM(G188,I188,K188,M188)</f>
        <v>62328</v>
      </c>
      <c r="P188" s="89">
        <f t="shared" ref="P188:P205" si="109">+O188/30</f>
        <v>2077.6</v>
      </c>
      <c r="Q188" s="257">
        <f t="shared" ref="Q188:Q241" si="110">SUM(H188,J188,L188,N188)</f>
        <v>63180</v>
      </c>
      <c r="R188" s="79">
        <f t="shared" ref="R188:R241" si="111">+Q188/30</f>
        <v>2106</v>
      </c>
      <c r="S188" s="78">
        <v>100</v>
      </c>
      <c r="T188" s="675">
        <v>332</v>
      </c>
      <c r="U188" s="256">
        <f t="shared" si="76"/>
        <v>62328</v>
      </c>
      <c r="V188" s="434">
        <f t="shared" si="77"/>
        <v>63180</v>
      </c>
      <c r="W188" s="78"/>
      <c r="X188" s="675"/>
      <c r="Y188" s="78"/>
      <c r="Z188" s="675"/>
      <c r="AA188" s="78"/>
      <c r="AB188" s="675"/>
      <c r="AC188" s="78"/>
      <c r="AD188" s="675"/>
      <c r="AE188" s="256">
        <f t="shared" si="102"/>
        <v>0</v>
      </c>
      <c r="AF188" s="89">
        <f t="shared" si="103"/>
        <v>0</v>
      </c>
      <c r="AG188" s="257">
        <f t="shared" si="104"/>
        <v>0</v>
      </c>
      <c r="AH188" s="79">
        <f t="shared" si="105"/>
        <v>0</v>
      </c>
      <c r="AI188" s="78"/>
      <c r="AJ188" s="675"/>
      <c r="AK188" s="256">
        <f t="shared" si="106"/>
        <v>0</v>
      </c>
      <c r="AL188" s="434">
        <f t="shared" si="107"/>
        <v>0</v>
      </c>
      <c r="AM188" s="78"/>
      <c r="AN188" s="675"/>
      <c r="AO188" s="78">
        <v>1289</v>
      </c>
      <c r="AP188" s="675">
        <v>1137</v>
      </c>
      <c r="AQ188" s="78">
        <v>315</v>
      </c>
      <c r="AR188" s="675">
        <v>139</v>
      </c>
      <c r="AS188" s="78">
        <v>1062</v>
      </c>
      <c r="AT188" s="675">
        <v>1466</v>
      </c>
      <c r="AU188" s="258">
        <f t="shared" si="96"/>
        <v>2666</v>
      </c>
      <c r="AV188" s="89">
        <f t="shared" si="97"/>
        <v>111.08333333333333</v>
      </c>
      <c r="AW188" s="257">
        <f t="shared" si="98"/>
        <v>2742</v>
      </c>
      <c r="AX188" s="79">
        <f t="shared" si="99"/>
        <v>114.25</v>
      </c>
      <c r="AY188" s="259">
        <f t="shared" si="100"/>
        <v>2188.6833333333334</v>
      </c>
      <c r="AZ188" s="79">
        <f t="shared" si="101"/>
        <v>2220.25</v>
      </c>
      <c r="BA188" s="680"/>
    </row>
    <row r="189" spans="1:53">
      <c r="A189" s="283" t="s">
        <v>148</v>
      </c>
      <c r="B189" s="284" t="s">
        <v>157</v>
      </c>
      <c r="C189" s="283">
        <v>157173</v>
      </c>
      <c r="D189" s="155">
        <v>8</v>
      </c>
      <c r="E189" s="148" t="s">
        <v>393</v>
      </c>
      <c r="F189" s="149" t="s">
        <v>393</v>
      </c>
      <c r="G189" s="78"/>
      <c r="H189" s="675"/>
      <c r="I189" s="78">
        <v>98581</v>
      </c>
      <c r="J189" s="675">
        <v>107663</v>
      </c>
      <c r="K189" s="78">
        <v>19290</v>
      </c>
      <c r="L189" s="675">
        <v>21671</v>
      </c>
      <c r="M189" s="78">
        <v>115233</v>
      </c>
      <c r="N189" s="675">
        <v>122985</v>
      </c>
      <c r="O189" s="256">
        <f t="shared" si="108"/>
        <v>233104</v>
      </c>
      <c r="P189" s="89">
        <f t="shared" si="109"/>
        <v>7770.1333333333332</v>
      </c>
      <c r="Q189" s="257">
        <f t="shared" si="110"/>
        <v>252319</v>
      </c>
      <c r="R189" s="79">
        <f t="shared" si="111"/>
        <v>8410.6333333333332</v>
      </c>
      <c r="S189" s="78">
        <v>5110</v>
      </c>
      <c r="T189" s="675">
        <v>5254</v>
      </c>
      <c r="U189" s="256">
        <f t="shared" si="76"/>
        <v>233104</v>
      </c>
      <c r="V189" s="434">
        <f t="shared" si="77"/>
        <v>252319</v>
      </c>
      <c r="W189" s="78"/>
      <c r="X189" s="675"/>
      <c r="Y189" s="78"/>
      <c r="Z189" s="675"/>
      <c r="AA189" s="78"/>
      <c r="AB189" s="675"/>
      <c r="AC189" s="78"/>
      <c r="AD189" s="675"/>
      <c r="AE189" s="256">
        <f t="shared" si="102"/>
        <v>0</v>
      </c>
      <c r="AF189" s="89">
        <f t="shared" si="103"/>
        <v>0</v>
      </c>
      <c r="AG189" s="257">
        <f t="shared" si="104"/>
        <v>0</v>
      </c>
      <c r="AH189" s="79">
        <f t="shared" si="105"/>
        <v>0</v>
      </c>
      <c r="AI189" s="78"/>
      <c r="AJ189" s="675"/>
      <c r="AK189" s="256">
        <f t="shared" si="106"/>
        <v>0</v>
      </c>
      <c r="AL189" s="434">
        <f t="shared" si="107"/>
        <v>0</v>
      </c>
      <c r="AM189" s="78"/>
      <c r="AN189" s="675"/>
      <c r="AO189" s="78"/>
      <c r="AP189" s="675"/>
      <c r="AQ189" s="78"/>
      <c r="AR189" s="675"/>
      <c r="AS189" s="78"/>
      <c r="AT189" s="675"/>
      <c r="AU189" s="258">
        <f t="shared" si="96"/>
        <v>0</v>
      </c>
      <c r="AV189" s="89">
        <f t="shared" si="97"/>
        <v>0</v>
      </c>
      <c r="AW189" s="257">
        <f t="shared" si="98"/>
        <v>0</v>
      </c>
      <c r="AX189" s="79">
        <f t="shared" si="99"/>
        <v>0</v>
      </c>
      <c r="AY189" s="259">
        <f t="shared" si="100"/>
        <v>7770.1333333333332</v>
      </c>
      <c r="AZ189" s="79">
        <f t="shared" si="101"/>
        <v>8410.6333333333332</v>
      </c>
      <c r="BA189" s="680"/>
    </row>
    <row r="190" spans="1:53">
      <c r="A190" s="283" t="s">
        <v>148</v>
      </c>
      <c r="B190" s="284" t="s">
        <v>158</v>
      </c>
      <c r="C190" s="283">
        <v>156921</v>
      </c>
      <c r="D190" s="155">
        <v>8</v>
      </c>
      <c r="E190" s="148" t="s">
        <v>393</v>
      </c>
      <c r="F190" s="149" t="s">
        <v>393</v>
      </c>
      <c r="G190" s="78"/>
      <c r="H190" s="675"/>
      <c r="I190" s="78">
        <v>106679</v>
      </c>
      <c r="J190" s="675">
        <v>111027</v>
      </c>
      <c r="K190" s="78">
        <v>17461</v>
      </c>
      <c r="L190" s="675">
        <v>19575</v>
      </c>
      <c r="M190" s="78">
        <v>117609</v>
      </c>
      <c r="N190" s="675">
        <v>125984</v>
      </c>
      <c r="O190" s="256">
        <f t="shared" si="108"/>
        <v>241749</v>
      </c>
      <c r="P190" s="89">
        <f t="shared" si="109"/>
        <v>8058.3</v>
      </c>
      <c r="Q190" s="257">
        <f t="shared" si="110"/>
        <v>256586</v>
      </c>
      <c r="R190" s="79">
        <f t="shared" si="111"/>
        <v>8552.8666666666668</v>
      </c>
      <c r="S190" s="78">
        <v>12888</v>
      </c>
      <c r="T190" s="675">
        <v>11988</v>
      </c>
      <c r="U190" s="256">
        <f t="shared" ref="U190:U241" si="112">IF(OR(ISBLANK(S190),(S190="—")),0,O190)</f>
        <v>241749</v>
      </c>
      <c r="V190" s="434">
        <f t="shared" ref="V190:V241" si="113">IF(OR(ISBLANK(T190),(T190="—")),0,Q190)</f>
        <v>256586</v>
      </c>
      <c r="W190" s="78"/>
      <c r="X190" s="675"/>
      <c r="Y190" s="78"/>
      <c r="Z190" s="675"/>
      <c r="AA190" s="78"/>
      <c r="AB190" s="675"/>
      <c r="AC190" s="78"/>
      <c r="AD190" s="675"/>
      <c r="AE190" s="256">
        <f t="shared" si="102"/>
        <v>0</v>
      </c>
      <c r="AF190" s="89">
        <f t="shared" si="103"/>
        <v>0</v>
      </c>
      <c r="AG190" s="257">
        <f t="shared" si="104"/>
        <v>0</v>
      </c>
      <c r="AH190" s="79">
        <f t="shared" si="105"/>
        <v>0</v>
      </c>
      <c r="AI190" s="78"/>
      <c r="AJ190" s="675"/>
      <c r="AK190" s="256">
        <f t="shared" si="106"/>
        <v>0</v>
      </c>
      <c r="AL190" s="434">
        <f t="shared" si="107"/>
        <v>0</v>
      </c>
      <c r="AM190" s="78"/>
      <c r="AN190" s="675"/>
      <c r="AO190" s="78"/>
      <c r="AP190" s="675"/>
      <c r="AQ190" s="78"/>
      <c r="AR190" s="675"/>
      <c r="AS190" s="78"/>
      <c r="AT190" s="675"/>
      <c r="AU190" s="258">
        <f t="shared" si="96"/>
        <v>0</v>
      </c>
      <c r="AV190" s="89">
        <f t="shared" si="97"/>
        <v>0</v>
      </c>
      <c r="AW190" s="257">
        <f t="shared" si="98"/>
        <v>0</v>
      </c>
      <c r="AX190" s="79">
        <f t="shared" si="99"/>
        <v>0</v>
      </c>
      <c r="AY190" s="259">
        <f t="shared" si="100"/>
        <v>8058.3</v>
      </c>
      <c r="AZ190" s="79">
        <f t="shared" si="101"/>
        <v>8552.8666666666668</v>
      </c>
      <c r="BA190" s="680"/>
    </row>
    <row r="191" spans="1:53">
      <c r="A191" s="283" t="s">
        <v>148</v>
      </c>
      <c r="B191" s="284" t="s">
        <v>159</v>
      </c>
      <c r="C191" s="283">
        <v>156231</v>
      </c>
      <c r="D191" s="155">
        <v>9</v>
      </c>
      <c r="E191" s="148" t="s">
        <v>393</v>
      </c>
      <c r="F191" s="149" t="s">
        <v>393</v>
      </c>
      <c r="G191" s="78"/>
      <c r="H191" s="675"/>
      <c r="I191" s="78">
        <v>26981</v>
      </c>
      <c r="J191" s="675">
        <v>29324</v>
      </c>
      <c r="K191" s="78">
        <v>4008</v>
      </c>
      <c r="L191" s="675">
        <v>4849</v>
      </c>
      <c r="M191" s="78">
        <v>36098</v>
      </c>
      <c r="N191" s="675">
        <v>40984</v>
      </c>
      <c r="O191" s="256">
        <f t="shared" si="108"/>
        <v>67087</v>
      </c>
      <c r="P191" s="89">
        <f t="shared" si="109"/>
        <v>2236.2333333333331</v>
      </c>
      <c r="Q191" s="257">
        <f t="shared" si="110"/>
        <v>75157</v>
      </c>
      <c r="R191" s="79">
        <f t="shared" si="111"/>
        <v>2505.2333333333331</v>
      </c>
      <c r="S191" s="78">
        <v>7641</v>
      </c>
      <c r="T191" s="675">
        <v>7383</v>
      </c>
      <c r="U191" s="256">
        <f t="shared" si="112"/>
        <v>67087</v>
      </c>
      <c r="V191" s="434">
        <f t="shared" si="113"/>
        <v>75157</v>
      </c>
      <c r="W191" s="78"/>
      <c r="X191" s="675"/>
      <c r="Y191" s="78"/>
      <c r="Z191" s="675"/>
      <c r="AA191" s="78"/>
      <c r="AB191" s="675"/>
      <c r="AC191" s="78"/>
      <c r="AD191" s="675"/>
      <c r="AE191" s="256">
        <f t="shared" si="102"/>
        <v>0</v>
      </c>
      <c r="AF191" s="89">
        <f t="shared" si="103"/>
        <v>0</v>
      </c>
      <c r="AG191" s="257">
        <f t="shared" si="104"/>
        <v>0</v>
      </c>
      <c r="AH191" s="79">
        <f t="shared" si="105"/>
        <v>0</v>
      </c>
      <c r="AI191" s="78"/>
      <c r="AJ191" s="675"/>
      <c r="AK191" s="256">
        <f t="shared" si="106"/>
        <v>0</v>
      </c>
      <c r="AL191" s="434">
        <f t="shared" si="107"/>
        <v>0</v>
      </c>
      <c r="AM191" s="78"/>
      <c r="AN191" s="675"/>
      <c r="AO191" s="78"/>
      <c r="AP191" s="675"/>
      <c r="AQ191" s="78"/>
      <c r="AR191" s="675"/>
      <c r="AS191" s="78"/>
      <c r="AT191" s="675"/>
      <c r="AU191" s="258">
        <f t="shared" si="96"/>
        <v>0</v>
      </c>
      <c r="AV191" s="89">
        <f t="shared" si="97"/>
        <v>0</v>
      </c>
      <c r="AW191" s="257">
        <f t="shared" si="98"/>
        <v>0</v>
      </c>
      <c r="AX191" s="79">
        <f t="shared" si="99"/>
        <v>0</v>
      </c>
      <c r="AY191" s="259">
        <f t="shared" si="100"/>
        <v>2236.2333333333331</v>
      </c>
      <c r="AZ191" s="79">
        <f t="shared" si="101"/>
        <v>2505.2333333333331</v>
      </c>
      <c r="BA191" s="680"/>
    </row>
    <row r="192" spans="1:53">
      <c r="A192" s="283" t="s">
        <v>148</v>
      </c>
      <c r="B192" s="284" t="s">
        <v>160</v>
      </c>
      <c r="C192" s="285">
        <v>157553</v>
      </c>
      <c r="D192" s="155">
        <v>9</v>
      </c>
      <c r="E192" s="148" t="s">
        <v>393</v>
      </c>
      <c r="F192" s="149" t="s">
        <v>393</v>
      </c>
      <c r="G192" s="78"/>
      <c r="H192" s="675"/>
      <c r="I192" s="78">
        <v>33501</v>
      </c>
      <c r="J192" s="675">
        <v>33702</v>
      </c>
      <c r="K192" s="78">
        <v>5409</v>
      </c>
      <c r="L192" s="675">
        <v>6446</v>
      </c>
      <c r="M192" s="78">
        <v>35901</v>
      </c>
      <c r="N192" s="675">
        <v>42316</v>
      </c>
      <c r="O192" s="256">
        <f t="shared" si="108"/>
        <v>74811</v>
      </c>
      <c r="P192" s="89">
        <f t="shared" si="109"/>
        <v>2493.6999999999998</v>
      </c>
      <c r="Q192" s="257">
        <f t="shared" si="110"/>
        <v>82464</v>
      </c>
      <c r="R192" s="79">
        <f t="shared" si="111"/>
        <v>2748.8</v>
      </c>
      <c r="S192" s="78">
        <v>2277</v>
      </c>
      <c r="T192" s="675">
        <v>2816</v>
      </c>
      <c r="U192" s="256">
        <f t="shared" si="112"/>
        <v>74811</v>
      </c>
      <c r="V192" s="434">
        <f t="shared" si="113"/>
        <v>82464</v>
      </c>
      <c r="W192" s="78"/>
      <c r="X192" s="675"/>
      <c r="Y192" s="78"/>
      <c r="Z192" s="675"/>
      <c r="AA192" s="78"/>
      <c r="AB192" s="675"/>
      <c r="AC192" s="78"/>
      <c r="AD192" s="675"/>
      <c r="AE192" s="256">
        <f t="shared" si="102"/>
        <v>0</v>
      </c>
      <c r="AF192" s="89">
        <f t="shared" si="103"/>
        <v>0</v>
      </c>
      <c r="AG192" s="257">
        <f t="shared" si="104"/>
        <v>0</v>
      </c>
      <c r="AH192" s="79">
        <f t="shared" si="105"/>
        <v>0</v>
      </c>
      <c r="AI192" s="78"/>
      <c r="AJ192" s="675"/>
      <c r="AK192" s="256">
        <f t="shared" si="106"/>
        <v>0</v>
      </c>
      <c r="AL192" s="434">
        <f t="shared" si="107"/>
        <v>0</v>
      </c>
      <c r="AM192" s="78"/>
      <c r="AN192" s="675"/>
      <c r="AO192" s="78"/>
      <c r="AP192" s="675"/>
      <c r="AQ192" s="78"/>
      <c r="AR192" s="675"/>
      <c r="AS192" s="78"/>
      <c r="AT192" s="675"/>
      <c r="AU192" s="258">
        <f t="shared" si="96"/>
        <v>0</v>
      </c>
      <c r="AV192" s="89">
        <f t="shared" si="97"/>
        <v>0</v>
      </c>
      <c r="AW192" s="257">
        <f t="shared" si="98"/>
        <v>0</v>
      </c>
      <c r="AX192" s="79">
        <f t="shared" si="99"/>
        <v>0</v>
      </c>
      <c r="AY192" s="259">
        <f t="shared" si="100"/>
        <v>2493.6999999999998</v>
      </c>
      <c r="AZ192" s="79">
        <f t="shared" si="101"/>
        <v>2748.8</v>
      </c>
      <c r="BA192" s="680"/>
    </row>
    <row r="193" spans="1:53">
      <c r="A193" s="283" t="s">
        <v>148</v>
      </c>
      <c r="B193" s="284" t="s">
        <v>161</v>
      </c>
      <c r="C193" s="285">
        <v>156648</v>
      </c>
      <c r="D193" s="155">
        <v>9</v>
      </c>
      <c r="E193" s="148" t="s">
        <v>393</v>
      </c>
      <c r="F193" s="149" t="s">
        <v>393</v>
      </c>
      <c r="G193" s="78"/>
      <c r="H193" s="675"/>
      <c r="I193" s="78">
        <v>40917</v>
      </c>
      <c r="J193" s="675">
        <v>45868</v>
      </c>
      <c r="K193" s="78">
        <v>6680</v>
      </c>
      <c r="L193" s="675">
        <v>8011</v>
      </c>
      <c r="M193" s="78">
        <v>46417</v>
      </c>
      <c r="N193" s="675">
        <v>57585</v>
      </c>
      <c r="O193" s="256">
        <f t="shared" si="108"/>
        <v>94014</v>
      </c>
      <c r="P193" s="89">
        <f t="shared" si="109"/>
        <v>3133.8</v>
      </c>
      <c r="Q193" s="257">
        <f t="shared" si="110"/>
        <v>111464</v>
      </c>
      <c r="R193" s="79">
        <f t="shared" si="111"/>
        <v>3715.4666666666667</v>
      </c>
      <c r="S193" s="78">
        <v>1449</v>
      </c>
      <c r="T193" s="675">
        <v>2072</v>
      </c>
      <c r="U193" s="256">
        <f t="shared" si="112"/>
        <v>94014</v>
      </c>
      <c r="V193" s="434">
        <f t="shared" si="113"/>
        <v>111464</v>
      </c>
      <c r="W193" s="78"/>
      <c r="X193" s="675"/>
      <c r="Y193" s="78"/>
      <c r="Z193" s="675"/>
      <c r="AA193" s="78"/>
      <c r="AB193" s="675"/>
      <c r="AC193" s="78"/>
      <c r="AD193" s="675"/>
      <c r="AE193" s="256">
        <f t="shared" si="102"/>
        <v>0</v>
      </c>
      <c r="AF193" s="89">
        <f t="shared" si="103"/>
        <v>0</v>
      </c>
      <c r="AG193" s="257">
        <f t="shared" si="104"/>
        <v>0</v>
      </c>
      <c r="AH193" s="79">
        <f t="shared" si="105"/>
        <v>0</v>
      </c>
      <c r="AI193" s="78"/>
      <c r="AJ193" s="675"/>
      <c r="AK193" s="256">
        <f t="shared" si="106"/>
        <v>0</v>
      </c>
      <c r="AL193" s="434">
        <f t="shared" si="107"/>
        <v>0</v>
      </c>
      <c r="AM193" s="78"/>
      <c r="AN193" s="675"/>
      <c r="AO193" s="78"/>
      <c r="AP193" s="675"/>
      <c r="AQ193" s="78"/>
      <c r="AR193" s="675"/>
      <c r="AS193" s="78"/>
      <c r="AT193" s="675"/>
      <c r="AU193" s="258">
        <f t="shared" si="96"/>
        <v>0</v>
      </c>
      <c r="AV193" s="89">
        <f t="shared" si="97"/>
        <v>0</v>
      </c>
      <c r="AW193" s="257">
        <f t="shared" si="98"/>
        <v>0</v>
      </c>
      <c r="AX193" s="79">
        <f t="shared" si="99"/>
        <v>0</v>
      </c>
      <c r="AY193" s="259">
        <f t="shared" si="100"/>
        <v>3133.8</v>
      </c>
      <c r="AZ193" s="79">
        <f t="shared" si="101"/>
        <v>3715.4666666666667</v>
      </c>
      <c r="BA193" s="680"/>
    </row>
    <row r="194" spans="1:53">
      <c r="A194" s="285" t="s">
        <v>148</v>
      </c>
      <c r="B194" s="286" t="s">
        <v>163</v>
      </c>
      <c r="C194" s="285">
        <v>157304</v>
      </c>
      <c r="D194" s="158">
        <v>9</v>
      </c>
      <c r="E194" s="148" t="s">
        <v>393</v>
      </c>
      <c r="F194" s="149" t="s">
        <v>393</v>
      </c>
      <c r="G194" s="78"/>
      <c r="H194" s="675"/>
      <c r="I194" s="78">
        <v>29463</v>
      </c>
      <c r="J194" s="675">
        <v>27370</v>
      </c>
      <c r="K194" s="78">
        <v>3902</v>
      </c>
      <c r="L194" s="675">
        <v>4093</v>
      </c>
      <c r="M194" s="78">
        <v>30484</v>
      </c>
      <c r="N194" s="675">
        <v>32711</v>
      </c>
      <c r="O194" s="256">
        <f t="shared" si="108"/>
        <v>63849</v>
      </c>
      <c r="P194" s="89">
        <f t="shared" si="109"/>
        <v>2128.3000000000002</v>
      </c>
      <c r="Q194" s="257">
        <f t="shared" si="110"/>
        <v>64174</v>
      </c>
      <c r="R194" s="79">
        <f t="shared" si="111"/>
        <v>2139.1333333333332</v>
      </c>
      <c r="S194" s="78">
        <v>5489</v>
      </c>
      <c r="T194" s="675">
        <v>5676</v>
      </c>
      <c r="U194" s="256">
        <f t="shared" si="112"/>
        <v>63849</v>
      </c>
      <c r="V194" s="434">
        <f t="shared" si="113"/>
        <v>64174</v>
      </c>
      <c r="W194" s="78"/>
      <c r="X194" s="675"/>
      <c r="Y194" s="78"/>
      <c r="Z194" s="675"/>
      <c r="AA194" s="78"/>
      <c r="AB194" s="675"/>
      <c r="AC194" s="78"/>
      <c r="AD194" s="675"/>
      <c r="AE194" s="256">
        <f t="shared" si="102"/>
        <v>0</v>
      </c>
      <c r="AF194" s="89">
        <f t="shared" si="103"/>
        <v>0</v>
      </c>
      <c r="AG194" s="257">
        <f t="shared" si="104"/>
        <v>0</v>
      </c>
      <c r="AH194" s="79">
        <f t="shared" si="105"/>
        <v>0</v>
      </c>
      <c r="AI194" s="78"/>
      <c r="AJ194" s="675"/>
      <c r="AK194" s="256">
        <f t="shared" si="106"/>
        <v>0</v>
      </c>
      <c r="AL194" s="434">
        <f t="shared" si="107"/>
        <v>0</v>
      </c>
      <c r="AM194" s="78"/>
      <c r="AN194" s="675"/>
      <c r="AO194" s="78"/>
      <c r="AP194" s="675"/>
      <c r="AQ194" s="78"/>
      <c r="AR194" s="675"/>
      <c r="AS194" s="78"/>
      <c r="AT194" s="675"/>
      <c r="AU194" s="258">
        <f t="shared" si="96"/>
        <v>0</v>
      </c>
      <c r="AV194" s="89">
        <f t="shared" si="97"/>
        <v>0</v>
      </c>
      <c r="AW194" s="257">
        <f t="shared" si="98"/>
        <v>0</v>
      </c>
      <c r="AX194" s="79">
        <f t="shared" si="99"/>
        <v>0</v>
      </c>
      <c r="AY194" s="259">
        <f t="shared" si="100"/>
        <v>2128.3000000000002</v>
      </c>
      <c r="AZ194" s="79">
        <f t="shared" si="101"/>
        <v>2139.1333333333332</v>
      </c>
      <c r="BA194" s="680"/>
    </row>
    <row r="195" spans="1:53">
      <c r="A195" s="285" t="s">
        <v>148</v>
      </c>
      <c r="B195" s="286" t="s">
        <v>170</v>
      </c>
      <c r="C195" s="285">
        <v>157331</v>
      </c>
      <c r="D195" s="158">
        <v>9</v>
      </c>
      <c r="E195" s="148" t="s">
        <v>393</v>
      </c>
      <c r="F195" s="149" t="s">
        <v>393</v>
      </c>
      <c r="G195" s="78"/>
      <c r="H195" s="675"/>
      <c r="I195" s="78">
        <v>32975</v>
      </c>
      <c r="J195" s="675">
        <v>36280</v>
      </c>
      <c r="K195" s="78">
        <v>6941</v>
      </c>
      <c r="L195" s="675">
        <v>7344</v>
      </c>
      <c r="M195" s="78">
        <v>34502</v>
      </c>
      <c r="N195" s="675">
        <v>43850</v>
      </c>
      <c r="O195" s="256">
        <f t="shared" si="108"/>
        <v>74418</v>
      </c>
      <c r="P195" s="89">
        <f t="shared" si="109"/>
        <v>2480.6</v>
      </c>
      <c r="Q195" s="257">
        <f t="shared" si="110"/>
        <v>87474</v>
      </c>
      <c r="R195" s="79">
        <f t="shared" si="111"/>
        <v>2915.8</v>
      </c>
      <c r="S195" s="78">
        <v>7188</v>
      </c>
      <c r="T195" s="675">
        <v>5730</v>
      </c>
      <c r="U195" s="256">
        <f t="shared" si="112"/>
        <v>74418</v>
      </c>
      <c r="V195" s="434">
        <f t="shared" si="113"/>
        <v>87474</v>
      </c>
      <c r="W195" s="78"/>
      <c r="X195" s="675"/>
      <c r="Y195" s="78"/>
      <c r="Z195" s="675"/>
      <c r="AA195" s="78"/>
      <c r="AB195" s="675"/>
      <c r="AC195" s="78"/>
      <c r="AD195" s="675"/>
      <c r="AE195" s="256">
        <f t="shared" si="102"/>
        <v>0</v>
      </c>
      <c r="AF195" s="89">
        <f t="shared" si="103"/>
        <v>0</v>
      </c>
      <c r="AG195" s="257">
        <f t="shared" si="104"/>
        <v>0</v>
      </c>
      <c r="AH195" s="79">
        <f t="shared" si="105"/>
        <v>0</v>
      </c>
      <c r="AI195" s="78"/>
      <c r="AJ195" s="675"/>
      <c r="AK195" s="256">
        <f t="shared" si="106"/>
        <v>0</v>
      </c>
      <c r="AL195" s="434">
        <f t="shared" si="107"/>
        <v>0</v>
      </c>
      <c r="AM195" s="78"/>
      <c r="AN195" s="675"/>
      <c r="AO195" s="78"/>
      <c r="AP195" s="675"/>
      <c r="AQ195" s="78"/>
      <c r="AR195" s="675"/>
      <c r="AS195" s="78"/>
      <c r="AT195" s="675"/>
      <c r="AU195" s="258">
        <f t="shared" si="96"/>
        <v>0</v>
      </c>
      <c r="AV195" s="89">
        <f t="shared" si="97"/>
        <v>0</v>
      </c>
      <c r="AW195" s="257">
        <f t="shared" si="98"/>
        <v>0</v>
      </c>
      <c r="AX195" s="79">
        <f t="shared" si="99"/>
        <v>0</v>
      </c>
      <c r="AY195" s="259">
        <f t="shared" si="100"/>
        <v>2480.6</v>
      </c>
      <c r="AZ195" s="79">
        <f t="shared" si="101"/>
        <v>2915.8</v>
      </c>
      <c r="BA195" s="680"/>
    </row>
    <row r="196" spans="1:53">
      <c r="A196" s="283" t="s">
        <v>148</v>
      </c>
      <c r="B196" s="284" t="s">
        <v>164</v>
      </c>
      <c r="C196" s="285">
        <v>247940</v>
      </c>
      <c r="D196" s="155">
        <v>9</v>
      </c>
      <c r="E196" s="148" t="s">
        <v>393</v>
      </c>
      <c r="F196" s="149" t="s">
        <v>393</v>
      </c>
      <c r="G196" s="78"/>
      <c r="H196" s="675"/>
      <c r="I196" s="78">
        <v>34567</v>
      </c>
      <c r="J196" s="675">
        <v>35922</v>
      </c>
      <c r="K196" s="78">
        <v>3898</v>
      </c>
      <c r="L196" s="675">
        <v>5467</v>
      </c>
      <c r="M196" s="78">
        <v>41187</v>
      </c>
      <c r="N196" s="675">
        <v>48142</v>
      </c>
      <c r="O196" s="256">
        <f t="shared" si="108"/>
        <v>79652</v>
      </c>
      <c r="P196" s="89">
        <f t="shared" si="109"/>
        <v>2655.0666666666666</v>
      </c>
      <c r="Q196" s="257">
        <f t="shared" si="110"/>
        <v>89531</v>
      </c>
      <c r="R196" s="79">
        <f t="shared" si="111"/>
        <v>2984.3666666666668</v>
      </c>
      <c r="S196" s="78">
        <v>15207</v>
      </c>
      <c r="T196" s="675">
        <v>15687</v>
      </c>
      <c r="U196" s="256">
        <f t="shared" si="112"/>
        <v>79652</v>
      </c>
      <c r="V196" s="434">
        <f t="shared" si="113"/>
        <v>89531</v>
      </c>
      <c r="W196" s="78"/>
      <c r="X196" s="675"/>
      <c r="Y196" s="78"/>
      <c r="Z196" s="675"/>
      <c r="AA196" s="78"/>
      <c r="AB196" s="675"/>
      <c r="AC196" s="78"/>
      <c r="AD196" s="675"/>
      <c r="AE196" s="256">
        <f t="shared" si="102"/>
        <v>0</v>
      </c>
      <c r="AF196" s="89">
        <f t="shared" si="103"/>
        <v>0</v>
      </c>
      <c r="AG196" s="257">
        <f t="shared" si="104"/>
        <v>0</v>
      </c>
      <c r="AH196" s="79">
        <f t="shared" si="105"/>
        <v>0</v>
      </c>
      <c r="AI196" s="78"/>
      <c r="AJ196" s="675"/>
      <c r="AK196" s="256">
        <f t="shared" si="106"/>
        <v>0</v>
      </c>
      <c r="AL196" s="434">
        <f t="shared" si="107"/>
        <v>0</v>
      </c>
      <c r="AM196" s="78"/>
      <c r="AN196" s="675"/>
      <c r="AO196" s="78"/>
      <c r="AP196" s="675"/>
      <c r="AQ196" s="78"/>
      <c r="AR196" s="675"/>
      <c r="AS196" s="78"/>
      <c r="AT196" s="675"/>
      <c r="AU196" s="258">
        <f t="shared" si="96"/>
        <v>0</v>
      </c>
      <c r="AV196" s="89">
        <f t="shared" si="97"/>
        <v>0</v>
      </c>
      <c r="AW196" s="257">
        <f t="shared" si="98"/>
        <v>0</v>
      </c>
      <c r="AX196" s="79">
        <f t="shared" si="99"/>
        <v>0</v>
      </c>
      <c r="AY196" s="259">
        <f t="shared" si="100"/>
        <v>2655.0666666666666</v>
      </c>
      <c r="AZ196" s="79">
        <f t="shared" si="101"/>
        <v>2984.3666666666668</v>
      </c>
      <c r="BA196" s="680"/>
    </row>
    <row r="197" spans="1:53">
      <c r="A197" s="283" t="s">
        <v>148</v>
      </c>
      <c r="B197" s="284" t="s">
        <v>165</v>
      </c>
      <c r="C197" s="285">
        <v>157711</v>
      </c>
      <c r="D197" s="155">
        <v>9</v>
      </c>
      <c r="E197" s="148" t="s">
        <v>393</v>
      </c>
      <c r="F197" s="149" t="s">
        <v>393</v>
      </c>
      <c r="G197" s="78"/>
      <c r="H197" s="675"/>
      <c r="I197" s="78">
        <v>51932</v>
      </c>
      <c r="J197" s="675">
        <v>53001</v>
      </c>
      <c r="K197" s="78">
        <v>6205</v>
      </c>
      <c r="L197" s="675">
        <v>8603</v>
      </c>
      <c r="M197" s="78">
        <v>51934</v>
      </c>
      <c r="N197" s="675">
        <v>69331</v>
      </c>
      <c r="O197" s="256">
        <f t="shared" si="108"/>
        <v>110071</v>
      </c>
      <c r="P197" s="89">
        <f t="shared" si="109"/>
        <v>3669.0333333333333</v>
      </c>
      <c r="Q197" s="257">
        <f t="shared" si="110"/>
        <v>130935</v>
      </c>
      <c r="R197" s="79">
        <f t="shared" si="111"/>
        <v>4364.5</v>
      </c>
      <c r="S197" s="78">
        <v>6638</v>
      </c>
      <c r="T197" s="675">
        <v>7063</v>
      </c>
      <c r="U197" s="256">
        <f t="shared" si="112"/>
        <v>110071</v>
      </c>
      <c r="V197" s="434">
        <f t="shared" si="113"/>
        <v>130935</v>
      </c>
      <c r="W197" s="78"/>
      <c r="X197" s="675"/>
      <c r="Y197" s="78"/>
      <c r="Z197" s="675"/>
      <c r="AA197" s="78"/>
      <c r="AB197" s="675"/>
      <c r="AC197" s="78"/>
      <c r="AD197" s="675"/>
      <c r="AE197" s="256">
        <f t="shared" si="102"/>
        <v>0</v>
      </c>
      <c r="AF197" s="89">
        <f t="shared" si="103"/>
        <v>0</v>
      </c>
      <c r="AG197" s="257">
        <f t="shared" si="104"/>
        <v>0</v>
      </c>
      <c r="AH197" s="79">
        <f t="shared" si="105"/>
        <v>0</v>
      </c>
      <c r="AI197" s="78"/>
      <c r="AJ197" s="675"/>
      <c r="AK197" s="256">
        <f t="shared" si="106"/>
        <v>0</v>
      </c>
      <c r="AL197" s="434">
        <f t="shared" si="107"/>
        <v>0</v>
      </c>
      <c r="AM197" s="78"/>
      <c r="AN197" s="675"/>
      <c r="AO197" s="78"/>
      <c r="AP197" s="675"/>
      <c r="AQ197" s="78"/>
      <c r="AR197" s="675"/>
      <c r="AS197" s="78"/>
      <c r="AT197" s="675"/>
      <c r="AU197" s="258">
        <f t="shared" si="96"/>
        <v>0</v>
      </c>
      <c r="AV197" s="89">
        <f t="shared" si="97"/>
        <v>0</v>
      </c>
      <c r="AW197" s="257">
        <f t="shared" si="98"/>
        <v>0</v>
      </c>
      <c r="AX197" s="79">
        <f t="shared" si="99"/>
        <v>0</v>
      </c>
      <c r="AY197" s="259">
        <f t="shared" si="100"/>
        <v>3669.0333333333333</v>
      </c>
      <c r="AZ197" s="79">
        <f t="shared" si="101"/>
        <v>4364.5</v>
      </c>
      <c r="BA197" s="680"/>
    </row>
    <row r="198" spans="1:53">
      <c r="A198" s="283" t="s">
        <v>148</v>
      </c>
      <c r="B198" s="284" t="s">
        <v>166</v>
      </c>
      <c r="C198" s="285">
        <v>157739</v>
      </c>
      <c r="D198" s="155">
        <v>9</v>
      </c>
      <c r="E198" s="148" t="s">
        <v>393</v>
      </c>
      <c r="F198" s="149" t="s">
        <v>393</v>
      </c>
      <c r="G198" s="78"/>
      <c r="H198" s="675"/>
      <c r="I198" s="78">
        <v>28171</v>
      </c>
      <c r="J198" s="675">
        <v>27686</v>
      </c>
      <c r="K198" s="78">
        <v>3205</v>
      </c>
      <c r="L198" s="675">
        <v>3310</v>
      </c>
      <c r="M198" s="78">
        <v>30423</v>
      </c>
      <c r="N198" s="675">
        <v>35412</v>
      </c>
      <c r="O198" s="256">
        <f t="shared" si="108"/>
        <v>61799</v>
      </c>
      <c r="P198" s="89">
        <f t="shared" si="109"/>
        <v>2059.9666666666667</v>
      </c>
      <c r="Q198" s="257">
        <f t="shared" si="110"/>
        <v>66408</v>
      </c>
      <c r="R198" s="79">
        <f t="shared" si="111"/>
        <v>2213.6</v>
      </c>
      <c r="S198" s="78">
        <v>6135</v>
      </c>
      <c r="T198" s="675">
        <v>5978</v>
      </c>
      <c r="U198" s="256">
        <f t="shared" si="112"/>
        <v>61799</v>
      </c>
      <c r="V198" s="434">
        <f t="shared" si="113"/>
        <v>66408</v>
      </c>
      <c r="W198" s="78"/>
      <c r="X198" s="675"/>
      <c r="Y198" s="78"/>
      <c r="Z198" s="675"/>
      <c r="AA198" s="78"/>
      <c r="AB198" s="675"/>
      <c r="AC198" s="78"/>
      <c r="AD198" s="675"/>
      <c r="AE198" s="256">
        <f t="shared" si="102"/>
        <v>0</v>
      </c>
      <c r="AF198" s="89">
        <f t="shared" si="103"/>
        <v>0</v>
      </c>
      <c r="AG198" s="257">
        <f t="shared" si="104"/>
        <v>0</v>
      </c>
      <c r="AH198" s="79">
        <f t="shared" si="105"/>
        <v>0</v>
      </c>
      <c r="AI198" s="78"/>
      <c r="AJ198" s="675"/>
      <c r="AK198" s="256">
        <f t="shared" si="106"/>
        <v>0</v>
      </c>
      <c r="AL198" s="434">
        <f t="shared" si="107"/>
        <v>0</v>
      </c>
      <c r="AM198" s="78"/>
      <c r="AN198" s="675"/>
      <c r="AO198" s="78"/>
      <c r="AP198" s="675"/>
      <c r="AQ198" s="78"/>
      <c r="AR198" s="675"/>
      <c r="AS198" s="78"/>
      <c r="AT198" s="675"/>
      <c r="AU198" s="258">
        <f t="shared" si="96"/>
        <v>0</v>
      </c>
      <c r="AV198" s="89">
        <f t="shared" si="97"/>
        <v>0</v>
      </c>
      <c r="AW198" s="257">
        <f t="shared" si="98"/>
        <v>0</v>
      </c>
      <c r="AX198" s="79">
        <f t="shared" si="99"/>
        <v>0</v>
      </c>
      <c r="AY198" s="259">
        <f t="shared" si="100"/>
        <v>2059.9666666666667</v>
      </c>
      <c r="AZ198" s="79">
        <f t="shared" si="101"/>
        <v>2213.6</v>
      </c>
      <c r="BA198" s="680"/>
    </row>
    <row r="199" spans="1:53">
      <c r="A199" s="283" t="s">
        <v>148</v>
      </c>
      <c r="B199" s="284" t="s">
        <v>167</v>
      </c>
      <c r="C199" s="285">
        <v>157483</v>
      </c>
      <c r="D199" s="155">
        <v>9</v>
      </c>
      <c r="E199" s="148" t="s">
        <v>393</v>
      </c>
      <c r="F199" s="149" t="s">
        <v>393</v>
      </c>
      <c r="G199" s="78"/>
      <c r="H199" s="675"/>
      <c r="I199" s="78">
        <v>40638</v>
      </c>
      <c r="J199" s="675">
        <v>43498</v>
      </c>
      <c r="K199" s="78">
        <v>7557</v>
      </c>
      <c r="L199" s="675">
        <v>9913</v>
      </c>
      <c r="M199" s="78">
        <v>47785</v>
      </c>
      <c r="N199" s="675">
        <v>54390</v>
      </c>
      <c r="O199" s="256">
        <f t="shared" si="108"/>
        <v>95980</v>
      </c>
      <c r="P199" s="89">
        <f t="shared" si="109"/>
        <v>3199.3333333333335</v>
      </c>
      <c r="Q199" s="257">
        <f t="shared" si="110"/>
        <v>107801</v>
      </c>
      <c r="R199" s="79">
        <f t="shared" si="111"/>
        <v>3593.3666666666668</v>
      </c>
      <c r="S199" s="78">
        <v>7360</v>
      </c>
      <c r="T199" s="675">
        <v>8706</v>
      </c>
      <c r="U199" s="256">
        <f t="shared" si="112"/>
        <v>95980</v>
      </c>
      <c r="V199" s="434">
        <f t="shared" si="113"/>
        <v>107801</v>
      </c>
      <c r="W199" s="78"/>
      <c r="X199" s="675"/>
      <c r="Y199" s="78"/>
      <c r="Z199" s="675"/>
      <c r="AA199" s="78"/>
      <c r="AB199" s="675"/>
      <c r="AC199" s="78"/>
      <c r="AD199" s="675"/>
      <c r="AE199" s="256">
        <f t="shared" si="102"/>
        <v>0</v>
      </c>
      <c r="AF199" s="89">
        <f t="shared" si="103"/>
        <v>0</v>
      </c>
      <c r="AG199" s="257">
        <f t="shared" si="104"/>
        <v>0</v>
      </c>
      <c r="AH199" s="79">
        <f t="shared" si="105"/>
        <v>0</v>
      </c>
      <c r="AI199" s="78"/>
      <c r="AJ199" s="675"/>
      <c r="AK199" s="256">
        <f t="shared" si="106"/>
        <v>0</v>
      </c>
      <c r="AL199" s="434">
        <f t="shared" si="107"/>
        <v>0</v>
      </c>
      <c r="AM199" s="78"/>
      <c r="AN199" s="675"/>
      <c r="AO199" s="78"/>
      <c r="AP199" s="675"/>
      <c r="AQ199" s="78"/>
      <c r="AR199" s="675"/>
      <c r="AS199" s="78"/>
      <c r="AT199" s="675"/>
      <c r="AU199" s="258">
        <f t="shared" si="96"/>
        <v>0</v>
      </c>
      <c r="AV199" s="89">
        <f t="shared" si="97"/>
        <v>0</v>
      </c>
      <c r="AW199" s="257">
        <f t="shared" si="98"/>
        <v>0</v>
      </c>
      <c r="AX199" s="79">
        <f t="shared" si="99"/>
        <v>0</v>
      </c>
      <c r="AY199" s="259">
        <f t="shared" si="100"/>
        <v>3199.3333333333335</v>
      </c>
      <c r="AZ199" s="79">
        <f t="shared" si="101"/>
        <v>3593.3666666666668</v>
      </c>
      <c r="BA199" s="680"/>
    </row>
    <row r="200" spans="1:53">
      <c r="A200" s="285" t="s">
        <v>148</v>
      </c>
      <c r="B200" s="284" t="s">
        <v>162</v>
      </c>
      <c r="C200" s="285">
        <v>156790</v>
      </c>
      <c r="D200" s="155">
        <v>10</v>
      </c>
      <c r="E200" s="148" t="s">
        <v>393</v>
      </c>
      <c r="F200" s="149" t="s">
        <v>393</v>
      </c>
      <c r="G200" s="78"/>
      <c r="H200" s="675"/>
      <c r="I200" s="78">
        <v>24961</v>
      </c>
      <c r="J200" s="675">
        <v>22982</v>
      </c>
      <c r="K200" s="78">
        <v>3177</v>
      </c>
      <c r="L200" s="675">
        <v>3680</v>
      </c>
      <c r="M200" s="78">
        <v>27640</v>
      </c>
      <c r="N200" s="675">
        <v>31764</v>
      </c>
      <c r="O200" s="256">
        <f t="shared" si="108"/>
        <v>55778</v>
      </c>
      <c r="P200" s="89">
        <f t="shared" si="109"/>
        <v>1859.2666666666667</v>
      </c>
      <c r="Q200" s="257">
        <f t="shared" si="110"/>
        <v>58426</v>
      </c>
      <c r="R200" s="79">
        <f t="shared" si="111"/>
        <v>1947.5333333333333</v>
      </c>
      <c r="S200" s="78">
        <v>4154</v>
      </c>
      <c r="T200" s="675">
        <v>4396</v>
      </c>
      <c r="U200" s="256">
        <f t="shared" si="112"/>
        <v>55778</v>
      </c>
      <c r="V200" s="434">
        <f t="shared" si="113"/>
        <v>58426</v>
      </c>
      <c r="W200" s="78"/>
      <c r="X200" s="675"/>
      <c r="Y200" s="78"/>
      <c r="Z200" s="675"/>
      <c r="AA200" s="78"/>
      <c r="AB200" s="675"/>
      <c r="AC200" s="78"/>
      <c r="AD200" s="675"/>
      <c r="AE200" s="256">
        <f t="shared" si="102"/>
        <v>0</v>
      </c>
      <c r="AF200" s="89">
        <f t="shared" si="103"/>
        <v>0</v>
      </c>
      <c r="AG200" s="257">
        <f t="shared" si="104"/>
        <v>0</v>
      </c>
      <c r="AH200" s="79">
        <f t="shared" si="105"/>
        <v>0</v>
      </c>
      <c r="AI200" s="78"/>
      <c r="AJ200" s="675"/>
      <c r="AK200" s="256">
        <f t="shared" si="106"/>
        <v>0</v>
      </c>
      <c r="AL200" s="434">
        <f t="shared" si="107"/>
        <v>0</v>
      </c>
      <c r="AM200" s="78"/>
      <c r="AN200" s="675"/>
      <c r="AO200" s="78"/>
      <c r="AP200" s="675"/>
      <c r="AQ200" s="78"/>
      <c r="AR200" s="675"/>
      <c r="AS200" s="78"/>
      <c r="AT200" s="675"/>
      <c r="AU200" s="258">
        <f t="shared" si="96"/>
        <v>0</v>
      </c>
      <c r="AV200" s="89">
        <f t="shared" si="97"/>
        <v>0</v>
      </c>
      <c r="AW200" s="257">
        <f t="shared" si="98"/>
        <v>0</v>
      </c>
      <c r="AX200" s="79">
        <f t="shared" si="99"/>
        <v>0</v>
      </c>
      <c r="AY200" s="259">
        <f t="shared" si="100"/>
        <v>1859.2666666666667</v>
      </c>
      <c r="AZ200" s="79">
        <f t="shared" si="101"/>
        <v>1947.5333333333333</v>
      </c>
      <c r="BA200" s="680"/>
    </row>
    <row r="201" spans="1:53">
      <c r="A201" s="283" t="s">
        <v>148</v>
      </c>
      <c r="B201" s="284" t="s">
        <v>168</v>
      </c>
      <c r="C201" s="285">
        <v>156851</v>
      </c>
      <c r="D201" s="155">
        <v>10</v>
      </c>
      <c r="E201" s="148" t="s">
        <v>393</v>
      </c>
      <c r="F201" s="149" t="s">
        <v>393</v>
      </c>
      <c r="G201" s="78"/>
      <c r="H201" s="675"/>
      <c r="I201" s="78">
        <v>16602</v>
      </c>
      <c r="J201" s="675">
        <v>16495</v>
      </c>
      <c r="K201" s="78">
        <v>3018</v>
      </c>
      <c r="L201" s="675">
        <v>3950</v>
      </c>
      <c r="M201" s="78">
        <v>17223</v>
      </c>
      <c r="N201" s="675">
        <v>19805</v>
      </c>
      <c r="O201" s="256">
        <f t="shared" si="108"/>
        <v>36843</v>
      </c>
      <c r="P201" s="89">
        <f t="shared" si="109"/>
        <v>1228.0999999999999</v>
      </c>
      <c r="Q201" s="257">
        <f t="shared" si="110"/>
        <v>40250</v>
      </c>
      <c r="R201" s="79">
        <f t="shared" si="111"/>
        <v>1341.6666666666667</v>
      </c>
      <c r="S201" s="78">
        <v>1529</v>
      </c>
      <c r="T201" s="675">
        <v>1690</v>
      </c>
      <c r="U201" s="256">
        <f t="shared" si="112"/>
        <v>36843</v>
      </c>
      <c r="V201" s="434">
        <f t="shared" si="113"/>
        <v>40250</v>
      </c>
      <c r="W201" s="78"/>
      <c r="X201" s="675"/>
      <c r="Y201" s="78"/>
      <c r="Z201" s="675"/>
      <c r="AA201" s="78"/>
      <c r="AB201" s="675"/>
      <c r="AC201" s="78"/>
      <c r="AD201" s="675"/>
      <c r="AE201" s="256">
        <f t="shared" si="102"/>
        <v>0</v>
      </c>
      <c r="AF201" s="89">
        <f t="shared" si="103"/>
        <v>0</v>
      </c>
      <c r="AG201" s="257">
        <f t="shared" si="104"/>
        <v>0</v>
      </c>
      <c r="AH201" s="79">
        <f t="shared" si="105"/>
        <v>0</v>
      </c>
      <c r="AI201" s="78"/>
      <c r="AJ201" s="675"/>
      <c r="AK201" s="256">
        <f t="shared" si="106"/>
        <v>0</v>
      </c>
      <c r="AL201" s="434">
        <f t="shared" si="107"/>
        <v>0</v>
      </c>
      <c r="AM201" s="78"/>
      <c r="AN201" s="675"/>
      <c r="AO201" s="78"/>
      <c r="AP201" s="675"/>
      <c r="AQ201" s="78"/>
      <c r="AR201" s="675"/>
      <c r="AS201" s="78"/>
      <c r="AT201" s="675"/>
      <c r="AU201" s="258">
        <f t="shared" si="96"/>
        <v>0</v>
      </c>
      <c r="AV201" s="89">
        <f t="shared" si="97"/>
        <v>0</v>
      </c>
      <c r="AW201" s="257">
        <f t="shared" si="98"/>
        <v>0</v>
      </c>
      <c r="AX201" s="79">
        <f t="shared" si="99"/>
        <v>0</v>
      </c>
      <c r="AY201" s="259">
        <f t="shared" si="100"/>
        <v>1228.0999999999999</v>
      </c>
      <c r="AZ201" s="79">
        <f t="shared" si="101"/>
        <v>1341.6666666666667</v>
      </c>
      <c r="BA201" s="680"/>
    </row>
    <row r="202" spans="1:53">
      <c r="A202" s="283" t="s">
        <v>148</v>
      </c>
      <c r="B202" s="284" t="s">
        <v>169</v>
      </c>
      <c r="C202" s="285">
        <v>156860</v>
      </c>
      <c r="D202" s="155">
        <v>10</v>
      </c>
      <c r="E202" s="148" t="s">
        <v>393</v>
      </c>
      <c r="F202" s="149" t="s">
        <v>393</v>
      </c>
      <c r="G202" s="78"/>
      <c r="H202" s="675"/>
      <c r="I202" s="78">
        <v>24304</v>
      </c>
      <c r="J202" s="675">
        <v>29244</v>
      </c>
      <c r="K202" s="78">
        <v>3165</v>
      </c>
      <c r="L202" s="675">
        <v>6484</v>
      </c>
      <c r="M202" s="78">
        <v>28710</v>
      </c>
      <c r="N202" s="675">
        <v>33286</v>
      </c>
      <c r="O202" s="256">
        <f t="shared" si="108"/>
        <v>56179</v>
      </c>
      <c r="P202" s="89">
        <f t="shared" si="109"/>
        <v>1872.6333333333334</v>
      </c>
      <c r="Q202" s="257">
        <f t="shared" si="110"/>
        <v>69014</v>
      </c>
      <c r="R202" s="79">
        <f t="shared" si="111"/>
        <v>2300.4666666666667</v>
      </c>
      <c r="S202" s="78">
        <v>1229</v>
      </c>
      <c r="T202" s="675">
        <v>1548</v>
      </c>
      <c r="U202" s="256">
        <f t="shared" si="112"/>
        <v>56179</v>
      </c>
      <c r="V202" s="434">
        <f t="shared" si="113"/>
        <v>69014</v>
      </c>
      <c r="W202" s="78"/>
      <c r="X202" s="675"/>
      <c r="Y202" s="78"/>
      <c r="Z202" s="675"/>
      <c r="AA202" s="78"/>
      <c r="AB202" s="675"/>
      <c r="AC202" s="78"/>
      <c r="AD202" s="675"/>
      <c r="AE202" s="256">
        <f t="shared" si="102"/>
        <v>0</v>
      </c>
      <c r="AF202" s="89">
        <f t="shared" si="103"/>
        <v>0</v>
      </c>
      <c r="AG202" s="257">
        <f t="shared" si="104"/>
        <v>0</v>
      </c>
      <c r="AH202" s="79">
        <f t="shared" si="105"/>
        <v>0</v>
      </c>
      <c r="AI202" s="78"/>
      <c r="AJ202" s="675"/>
      <c r="AK202" s="256">
        <f t="shared" si="106"/>
        <v>0</v>
      </c>
      <c r="AL202" s="434">
        <f t="shared" si="107"/>
        <v>0</v>
      </c>
      <c r="AM202" s="78"/>
      <c r="AN202" s="675"/>
      <c r="AO202" s="78"/>
      <c r="AP202" s="675"/>
      <c r="AQ202" s="78"/>
      <c r="AR202" s="675"/>
      <c r="AS202" s="78"/>
      <c r="AT202" s="675"/>
      <c r="AU202" s="258">
        <f t="shared" si="96"/>
        <v>0</v>
      </c>
      <c r="AV202" s="89">
        <f t="shared" si="97"/>
        <v>0</v>
      </c>
      <c r="AW202" s="257">
        <f t="shared" si="98"/>
        <v>0</v>
      </c>
      <c r="AX202" s="79">
        <f t="shared" si="99"/>
        <v>0</v>
      </c>
      <c r="AY202" s="259">
        <f t="shared" si="100"/>
        <v>1872.6333333333334</v>
      </c>
      <c r="AZ202" s="79">
        <f t="shared" si="101"/>
        <v>2300.4666666666667</v>
      </c>
      <c r="BA202" s="680"/>
    </row>
    <row r="203" spans="1:53">
      <c r="A203" s="285" t="s">
        <v>148</v>
      </c>
      <c r="B203" s="284" t="s">
        <v>172</v>
      </c>
      <c r="C203" s="285">
        <v>156338</v>
      </c>
      <c r="D203" s="155">
        <v>12</v>
      </c>
      <c r="E203" s="148" t="s">
        <v>393</v>
      </c>
      <c r="F203" s="149" t="s">
        <v>393</v>
      </c>
      <c r="G203" s="78"/>
      <c r="H203" s="675"/>
      <c r="I203" s="78">
        <v>16687</v>
      </c>
      <c r="J203" s="675">
        <v>19719</v>
      </c>
      <c r="K203" s="78">
        <v>2289</v>
      </c>
      <c r="L203" s="675">
        <v>2861</v>
      </c>
      <c r="M203" s="78">
        <v>20073</v>
      </c>
      <c r="N203" s="675">
        <v>28715</v>
      </c>
      <c r="O203" s="256">
        <f t="shared" si="108"/>
        <v>39049</v>
      </c>
      <c r="P203" s="89">
        <f t="shared" si="109"/>
        <v>1301.6333333333334</v>
      </c>
      <c r="Q203" s="257">
        <f t="shared" si="110"/>
        <v>51295</v>
      </c>
      <c r="R203" s="79">
        <f t="shared" si="111"/>
        <v>1709.8333333333333</v>
      </c>
      <c r="S203" s="78">
        <v>5245</v>
      </c>
      <c r="T203" s="675">
        <v>5175</v>
      </c>
      <c r="U203" s="256">
        <f t="shared" si="112"/>
        <v>39049</v>
      </c>
      <c r="V203" s="434">
        <f t="shared" si="113"/>
        <v>51295</v>
      </c>
      <c r="W203" s="78"/>
      <c r="X203" s="675"/>
      <c r="Y203" s="78"/>
      <c r="Z203" s="675"/>
      <c r="AA203" s="78"/>
      <c r="AB203" s="675"/>
      <c r="AC203" s="78"/>
      <c r="AD203" s="675"/>
      <c r="AE203" s="256">
        <f t="shared" si="102"/>
        <v>0</v>
      </c>
      <c r="AF203" s="89">
        <f t="shared" si="103"/>
        <v>0</v>
      </c>
      <c r="AG203" s="257">
        <f t="shared" si="104"/>
        <v>0</v>
      </c>
      <c r="AH203" s="79">
        <f t="shared" si="105"/>
        <v>0</v>
      </c>
      <c r="AI203" s="78"/>
      <c r="AJ203" s="675"/>
      <c r="AK203" s="256">
        <f t="shared" si="106"/>
        <v>0</v>
      </c>
      <c r="AL203" s="434">
        <f t="shared" si="107"/>
        <v>0</v>
      </c>
      <c r="AM203" s="78"/>
      <c r="AN203" s="675"/>
      <c r="AO203" s="78"/>
      <c r="AP203" s="675"/>
      <c r="AQ203" s="78"/>
      <c r="AR203" s="675"/>
      <c r="AS203" s="78"/>
      <c r="AT203" s="675"/>
      <c r="AU203" s="258">
        <f t="shared" si="96"/>
        <v>0</v>
      </c>
      <c r="AV203" s="89">
        <f t="shared" si="97"/>
        <v>0</v>
      </c>
      <c r="AW203" s="257">
        <f t="shared" si="98"/>
        <v>0</v>
      </c>
      <c r="AX203" s="79">
        <f t="shared" si="99"/>
        <v>0</v>
      </c>
      <c r="AY203" s="259">
        <f t="shared" si="100"/>
        <v>1301.6333333333334</v>
      </c>
      <c r="AZ203" s="79">
        <f t="shared" si="101"/>
        <v>1709.8333333333333</v>
      </c>
      <c r="BA203" s="680"/>
    </row>
    <row r="204" spans="1:53">
      <c r="A204" s="285" t="s">
        <v>148</v>
      </c>
      <c r="B204" s="286" t="s">
        <v>171</v>
      </c>
      <c r="C204" s="285">
        <v>157438</v>
      </c>
      <c r="D204" s="158">
        <v>12</v>
      </c>
      <c r="E204" s="148" t="s">
        <v>393</v>
      </c>
      <c r="F204" s="149" t="s">
        <v>393</v>
      </c>
      <c r="G204" s="78"/>
      <c r="H204" s="675"/>
      <c r="I204" s="78">
        <v>21339</v>
      </c>
      <c r="J204" s="675">
        <v>24427</v>
      </c>
      <c r="K204" s="78">
        <v>2888</v>
      </c>
      <c r="L204" s="675">
        <v>4310</v>
      </c>
      <c r="M204" s="78">
        <v>24590</v>
      </c>
      <c r="N204" s="675">
        <v>30463</v>
      </c>
      <c r="O204" s="256">
        <f t="shared" si="108"/>
        <v>48817</v>
      </c>
      <c r="P204" s="89">
        <f t="shared" si="109"/>
        <v>1627.2333333333333</v>
      </c>
      <c r="Q204" s="257">
        <f t="shared" si="110"/>
        <v>59200</v>
      </c>
      <c r="R204" s="79">
        <f t="shared" si="111"/>
        <v>1973.3333333333333</v>
      </c>
      <c r="S204" s="78">
        <v>2934</v>
      </c>
      <c r="T204" s="675">
        <v>3026</v>
      </c>
      <c r="U204" s="256">
        <f t="shared" si="112"/>
        <v>48817</v>
      </c>
      <c r="V204" s="434">
        <f t="shared" si="113"/>
        <v>59200</v>
      </c>
      <c r="W204" s="78"/>
      <c r="X204" s="675"/>
      <c r="Y204" s="78"/>
      <c r="Z204" s="675"/>
      <c r="AA204" s="78"/>
      <c r="AB204" s="675"/>
      <c r="AC204" s="78"/>
      <c r="AD204" s="675"/>
      <c r="AE204" s="256">
        <f t="shared" si="102"/>
        <v>0</v>
      </c>
      <c r="AF204" s="89">
        <f t="shared" si="103"/>
        <v>0</v>
      </c>
      <c r="AG204" s="257">
        <f t="shared" si="104"/>
        <v>0</v>
      </c>
      <c r="AH204" s="79">
        <f t="shared" si="105"/>
        <v>0</v>
      </c>
      <c r="AI204" s="78"/>
      <c r="AJ204" s="675"/>
      <c r="AK204" s="256">
        <f t="shared" si="106"/>
        <v>0</v>
      </c>
      <c r="AL204" s="434">
        <f t="shared" si="107"/>
        <v>0</v>
      </c>
      <c r="AM204" s="78"/>
      <c r="AN204" s="675"/>
      <c r="AO204" s="78"/>
      <c r="AP204" s="675"/>
      <c r="AQ204" s="78"/>
      <c r="AR204" s="675"/>
      <c r="AS204" s="78"/>
      <c r="AT204" s="675"/>
      <c r="AU204" s="258">
        <f t="shared" si="96"/>
        <v>0</v>
      </c>
      <c r="AV204" s="89">
        <f t="shared" si="97"/>
        <v>0</v>
      </c>
      <c r="AW204" s="257">
        <f t="shared" si="98"/>
        <v>0</v>
      </c>
      <c r="AX204" s="79">
        <f t="shared" si="99"/>
        <v>0</v>
      </c>
      <c r="AY204" s="259">
        <f t="shared" si="100"/>
        <v>1627.2333333333333</v>
      </c>
      <c r="AZ204" s="79">
        <f t="shared" si="101"/>
        <v>1973.3333333333333</v>
      </c>
      <c r="BA204" s="680"/>
    </row>
    <row r="205" spans="1:53">
      <c r="A205" s="287" t="s">
        <v>795</v>
      </c>
      <c r="B205" s="288" t="s">
        <v>844</v>
      </c>
      <c r="C205" s="287">
        <v>159391</v>
      </c>
      <c r="D205" s="270">
        <v>1</v>
      </c>
      <c r="E205" s="148" t="s">
        <v>393</v>
      </c>
      <c r="F205" s="488" t="s">
        <v>393</v>
      </c>
      <c r="G205" s="78"/>
      <c r="H205" s="675"/>
      <c r="I205" s="78">
        <v>314833</v>
      </c>
      <c r="J205" s="489">
        <v>316145</v>
      </c>
      <c r="K205" s="78">
        <v>45045</v>
      </c>
      <c r="L205" s="490">
        <v>44383</v>
      </c>
      <c r="M205" s="78">
        <v>357128</v>
      </c>
      <c r="N205" s="491">
        <v>352512</v>
      </c>
      <c r="O205" s="256">
        <f t="shared" si="108"/>
        <v>717006</v>
      </c>
      <c r="P205" s="89">
        <f t="shared" si="109"/>
        <v>23900.2</v>
      </c>
      <c r="Q205" s="257">
        <f t="shared" si="110"/>
        <v>713040</v>
      </c>
      <c r="R205" s="79">
        <f t="shared" si="111"/>
        <v>23768</v>
      </c>
      <c r="S205" s="492">
        <v>204</v>
      </c>
      <c r="T205" s="491">
        <v>192</v>
      </c>
      <c r="U205" s="256">
        <f t="shared" si="112"/>
        <v>717006</v>
      </c>
      <c r="V205" s="434">
        <f t="shared" si="113"/>
        <v>713040</v>
      </c>
      <c r="W205" s="78"/>
      <c r="X205" s="675"/>
      <c r="Y205" s="78"/>
      <c r="Z205" s="675"/>
      <c r="AA205" s="78"/>
      <c r="AB205" s="675"/>
      <c r="AC205" s="78"/>
      <c r="AD205" s="675"/>
      <c r="AE205" s="256">
        <f t="shared" si="102"/>
        <v>0</v>
      </c>
      <c r="AF205" s="89">
        <f t="shared" si="103"/>
        <v>0</v>
      </c>
      <c r="AG205" s="257">
        <f t="shared" si="104"/>
        <v>0</v>
      </c>
      <c r="AH205" s="79">
        <f t="shared" si="105"/>
        <v>0</v>
      </c>
      <c r="AI205" s="78"/>
      <c r="AJ205" s="675"/>
      <c r="AK205" s="256">
        <f t="shared" si="106"/>
        <v>0</v>
      </c>
      <c r="AL205" s="434">
        <f t="shared" si="107"/>
        <v>0</v>
      </c>
      <c r="AM205" s="78"/>
      <c r="AN205" s="675"/>
      <c r="AO205" s="78">
        <v>44611</v>
      </c>
      <c r="AP205" s="493">
        <v>46912</v>
      </c>
      <c r="AQ205" s="78">
        <v>13121</v>
      </c>
      <c r="AR205" s="494">
        <v>14009</v>
      </c>
      <c r="AS205" s="78">
        <v>48855.5</v>
      </c>
      <c r="AT205" s="495">
        <v>51084</v>
      </c>
      <c r="AU205" s="258">
        <f t="shared" si="96"/>
        <v>106587.5</v>
      </c>
      <c r="AV205" s="89">
        <f t="shared" si="97"/>
        <v>4441.145833333333</v>
      </c>
      <c r="AW205" s="257">
        <f t="shared" si="98"/>
        <v>112005</v>
      </c>
      <c r="AX205" s="79">
        <f t="shared" si="99"/>
        <v>4666.875</v>
      </c>
      <c r="AY205" s="259">
        <f t="shared" si="100"/>
        <v>28341.345833333333</v>
      </c>
      <c r="AZ205" s="79">
        <f t="shared" si="101"/>
        <v>28434.875</v>
      </c>
      <c r="BA205" s="680"/>
    </row>
    <row r="206" spans="1:53">
      <c r="A206" s="287" t="s">
        <v>795</v>
      </c>
      <c r="B206" s="288" t="s">
        <v>796</v>
      </c>
      <c r="C206" s="287">
        <v>159647</v>
      </c>
      <c r="D206" s="270">
        <v>2</v>
      </c>
      <c r="E206" s="496" t="s">
        <v>505</v>
      </c>
      <c r="F206" s="497" t="s">
        <v>505</v>
      </c>
      <c r="G206" s="78">
        <v>70228</v>
      </c>
      <c r="H206" s="498">
        <v>69543</v>
      </c>
      <c r="I206" s="78">
        <v>66602</v>
      </c>
      <c r="J206" s="489">
        <v>65989</v>
      </c>
      <c r="K206" s="78">
        <v>18064</v>
      </c>
      <c r="L206" s="490">
        <v>17101</v>
      </c>
      <c r="M206" s="78">
        <v>76759</v>
      </c>
      <c r="N206" s="491">
        <v>76157</v>
      </c>
      <c r="O206" s="256">
        <f t="shared" si="108"/>
        <v>231653</v>
      </c>
      <c r="P206" s="89">
        <f>+O206/45</f>
        <v>5147.8444444444449</v>
      </c>
      <c r="Q206" s="257">
        <f t="shared" si="110"/>
        <v>228790</v>
      </c>
      <c r="R206" s="79">
        <f t="shared" si="111"/>
        <v>7626.333333333333</v>
      </c>
      <c r="S206" s="492">
        <v>3420</v>
      </c>
      <c r="T206" s="491">
        <v>5353</v>
      </c>
      <c r="U206" s="256">
        <f t="shared" si="112"/>
        <v>231653</v>
      </c>
      <c r="V206" s="434">
        <f t="shared" si="113"/>
        <v>228790</v>
      </c>
      <c r="W206" s="78"/>
      <c r="X206" s="675"/>
      <c r="Y206" s="78"/>
      <c r="Z206" s="675"/>
      <c r="AA206" s="78"/>
      <c r="AB206" s="675"/>
      <c r="AC206" s="78"/>
      <c r="AD206" s="675"/>
      <c r="AE206" s="256">
        <f t="shared" si="102"/>
        <v>0</v>
      </c>
      <c r="AF206" s="89">
        <f t="shared" si="103"/>
        <v>0</v>
      </c>
      <c r="AG206" s="257">
        <f t="shared" si="104"/>
        <v>0</v>
      </c>
      <c r="AH206" s="79">
        <f t="shared" si="105"/>
        <v>0</v>
      </c>
      <c r="AI206" s="78"/>
      <c r="AJ206" s="675"/>
      <c r="AK206" s="256">
        <f t="shared" si="106"/>
        <v>0</v>
      </c>
      <c r="AL206" s="434">
        <f t="shared" si="107"/>
        <v>0</v>
      </c>
      <c r="AM206" s="78">
        <v>6955</v>
      </c>
      <c r="AN206" s="499">
        <v>7380</v>
      </c>
      <c r="AO206" s="78">
        <v>6765</v>
      </c>
      <c r="AP206" s="493">
        <v>7090</v>
      </c>
      <c r="AQ206" s="78">
        <v>4143</v>
      </c>
      <c r="AR206" s="494">
        <v>4143</v>
      </c>
      <c r="AS206" s="78">
        <v>10865</v>
      </c>
      <c r="AT206" s="495">
        <v>11764</v>
      </c>
      <c r="AU206" s="258">
        <f t="shared" si="96"/>
        <v>28728</v>
      </c>
      <c r="AV206" s="89">
        <f>+AU206/36</f>
        <v>798</v>
      </c>
      <c r="AW206" s="257">
        <f t="shared" si="98"/>
        <v>30377</v>
      </c>
      <c r="AX206" s="79">
        <f t="shared" si="99"/>
        <v>1265.7083333333333</v>
      </c>
      <c r="AY206" s="259">
        <f t="shared" si="100"/>
        <v>5945.8444444444449</v>
      </c>
      <c r="AZ206" s="79">
        <f t="shared" si="101"/>
        <v>8892.0416666666661</v>
      </c>
      <c r="BA206" s="680"/>
    </row>
    <row r="207" spans="1:53">
      <c r="A207" s="287" t="s">
        <v>795</v>
      </c>
      <c r="B207" s="288" t="s">
        <v>797</v>
      </c>
      <c r="C207" s="287">
        <v>160658</v>
      </c>
      <c r="D207" s="270">
        <v>2</v>
      </c>
      <c r="E207" s="148" t="s">
        <v>393</v>
      </c>
      <c r="F207" s="488" t="s">
        <v>393</v>
      </c>
      <c r="G207" s="78"/>
      <c r="H207" s="675"/>
      <c r="I207" s="78">
        <v>179733</v>
      </c>
      <c r="J207" s="489">
        <v>178285</v>
      </c>
      <c r="K207" s="78">
        <v>24241</v>
      </c>
      <c r="L207" s="490">
        <v>24078</v>
      </c>
      <c r="M207" s="78">
        <v>195625</v>
      </c>
      <c r="N207" s="491">
        <v>196155</v>
      </c>
      <c r="O207" s="256">
        <f t="shared" si="108"/>
        <v>399599</v>
      </c>
      <c r="P207" s="89">
        <f t="shared" ref="P207:P270" si="114">+O207/30</f>
        <v>13319.966666666667</v>
      </c>
      <c r="Q207" s="257">
        <f t="shared" si="110"/>
        <v>398518</v>
      </c>
      <c r="R207" s="79">
        <f t="shared" si="111"/>
        <v>13283.933333333332</v>
      </c>
      <c r="S207" s="492">
        <v>883</v>
      </c>
      <c r="T207" s="491">
        <v>601</v>
      </c>
      <c r="U207" s="256">
        <f t="shared" si="112"/>
        <v>399599</v>
      </c>
      <c r="V207" s="434">
        <f t="shared" si="113"/>
        <v>398518</v>
      </c>
      <c r="W207" s="78"/>
      <c r="X207" s="675"/>
      <c r="Y207" s="78"/>
      <c r="Z207" s="675"/>
      <c r="AA207" s="78"/>
      <c r="AB207" s="675"/>
      <c r="AC207" s="78"/>
      <c r="AD207" s="675"/>
      <c r="AE207" s="256">
        <f t="shared" si="102"/>
        <v>0</v>
      </c>
      <c r="AF207" s="89">
        <f t="shared" si="103"/>
        <v>0</v>
      </c>
      <c r="AG207" s="257">
        <f t="shared" si="104"/>
        <v>0</v>
      </c>
      <c r="AH207" s="79">
        <f t="shared" si="105"/>
        <v>0</v>
      </c>
      <c r="AI207" s="78"/>
      <c r="AJ207" s="675"/>
      <c r="AK207" s="256">
        <f t="shared" si="106"/>
        <v>0</v>
      </c>
      <c r="AL207" s="434">
        <f t="shared" si="107"/>
        <v>0</v>
      </c>
      <c r="AM207" s="78"/>
      <c r="AN207" s="675"/>
      <c r="AO207" s="78">
        <v>12770</v>
      </c>
      <c r="AP207" s="493">
        <v>11441</v>
      </c>
      <c r="AQ207" s="78">
        <v>2620</v>
      </c>
      <c r="AR207" s="494">
        <v>2427</v>
      </c>
      <c r="AS207" s="78">
        <v>12145</v>
      </c>
      <c r="AT207" s="495">
        <v>12111</v>
      </c>
      <c r="AU207" s="258">
        <f t="shared" si="96"/>
        <v>27535</v>
      </c>
      <c r="AV207" s="89">
        <f t="shared" ref="AV207:AV270" si="115">+AU207/24</f>
        <v>1147.2916666666667</v>
      </c>
      <c r="AW207" s="257">
        <f t="shared" si="98"/>
        <v>25979</v>
      </c>
      <c r="AX207" s="79">
        <f t="shared" si="99"/>
        <v>1082.4583333333333</v>
      </c>
      <c r="AY207" s="259">
        <f t="shared" si="100"/>
        <v>14467.258333333333</v>
      </c>
      <c r="AZ207" s="79">
        <f t="shared" si="101"/>
        <v>14366.391666666666</v>
      </c>
      <c r="BA207" s="680"/>
    </row>
    <row r="208" spans="1:53">
      <c r="A208" s="287" t="s">
        <v>795</v>
      </c>
      <c r="B208" s="288" t="s">
        <v>798</v>
      </c>
      <c r="C208" s="287">
        <v>159939</v>
      </c>
      <c r="D208" s="270">
        <v>2</v>
      </c>
      <c r="E208" s="148" t="s">
        <v>393</v>
      </c>
      <c r="F208" s="488" t="s">
        <v>393</v>
      </c>
      <c r="G208" s="78"/>
      <c r="H208" s="675"/>
      <c r="I208" s="78">
        <v>99531</v>
      </c>
      <c r="J208" s="489">
        <v>98044</v>
      </c>
      <c r="K208" s="78">
        <v>19874</v>
      </c>
      <c r="L208" s="490">
        <v>19111</v>
      </c>
      <c r="M208" s="78">
        <v>107344</v>
      </c>
      <c r="N208" s="491">
        <v>109326</v>
      </c>
      <c r="O208" s="256">
        <f t="shared" si="108"/>
        <v>226749</v>
      </c>
      <c r="P208" s="89">
        <f t="shared" si="114"/>
        <v>7558.3</v>
      </c>
      <c r="Q208" s="257">
        <f t="shared" si="110"/>
        <v>226481</v>
      </c>
      <c r="R208" s="79">
        <f t="shared" si="111"/>
        <v>7549.3666666666668</v>
      </c>
      <c r="S208" s="492">
        <v>227</v>
      </c>
      <c r="T208" s="491">
        <v>584</v>
      </c>
      <c r="U208" s="256">
        <f t="shared" si="112"/>
        <v>226749</v>
      </c>
      <c r="V208" s="434">
        <f t="shared" si="113"/>
        <v>226481</v>
      </c>
      <c r="W208" s="78"/>
      <c r="X208" s="675"/>
      <c r="Y208" s="78"/>
      <c r="Z208" s="675"/>
      <c r="AA208" s="78"/>
      <c r="AB208" s="675"/>
      <c r="AC208" s="78"/>
      <c r="AD208" s="675"/>
      <c r="AE208" s="256">
        <f t="shared" si="102"/>
        <v>0</v>
      </c>
      <c r="AF208" s="89">
        <f t="shared" si="103"/>
        <v>0</v>
      </c>
      <c r="AG208" s="257">
        <f t="shared" si="104"/>
        <v>0</v>
      </c>
      <c r="AH208" s="79">
        <f t="shared" si="105"/>
        <v>0</v>
      </c>
      <c r="AI208" s="78"/>
      <c r="AJ208" s="675"/>
      <c r="AK208" s="256">
        <f t="shared" si="106"/>
        <v>0</v>
      </c>
      <c r="AL208" s="434">
        <f t="shared" si="107"/>
        <v>0</v>
      </c>
      <c r="AM208" s="78"/>
      <c r="AN208" s="675"/>
      <c r="AO208" s="78">
        <v>17209</v>
      </c>
      <c r="AP208" s="493">
        <v>17576</v>
      </c>
      <c r="AQ208" s="78">
        <v>7586</v>
      </c>
      <c r="AR208" s="494">
        <v>7874</v>
      </c>
      <c r="AS208" s="78">
        <v>19864</v>
      </c>
      <c r="AT208" s="495">
        <v>21036</v>
      </c>
      <c r="AU208" s="258">
        <f t="shared" si="96"/>
        <v>44659</v>
      </c>
      <c r="AV208" s="89">
        <f t="shared" si="115"/>
        <v>1860.7916666666667</v>
      </c>
      <c r="AW208" s="257">
        <f t="shared" si="98"/>
        <v>46486</v>
      </c>
      <c r="AX208" s="79">
        <f t="shared" si="99"/>
        <v>1936.9166666666667</v>
      </c>
      <c r="AY208" s="259">
        <f t="shared" si="100"/>
        <v>9419.0916666666672</v>
      </c>
      <c r="AZ208" s="79">
        <f t="shared" si="101"/>
        <v>9486.2833333333328</v>
      </c>
      <c r="BA208" s="680"/>
    </row>
    <row r="209" spans="1:53">
      <c r="A209" s="287" t="s">
        <v>795</v>
      </c>
      <c r="B209" s="288" t="s">
        <v>799</v>
      </c>
      <c r="C209" s="287">
        <v>160612</v>
      </c>
      <c r="D209" s="270">
        <v>3</v>
      </c>
      <c r="E209" s="148" t="s">
        <v>393</v>
      </c>
      <c r="F209" s="488" t="s">
        <v>393</v>
      </c>
      <c r="G209" s="78"/>
      <c r="H209" s="675"/>
      <c r="I209" s="78">
        <v>159604</v>
      </c>
      <c r="J209" s="489">
        <v>159772</v>
      </c>
      <c r="K209" s="78">
        <v>21388</v>
      </c>
      <c r="L209" s="490">
        <v>25004</v>
      </c>
      <c r="M209" s="78">
        <v>180124</v>
      </c>
      <c r="N209" s="491">
        <v>182311</v>
      </c>
      <c r="O209" s="256">
        <f t="shared" si="108"/>
        <v>361116</v>
      </c>
      <c r="P209" s="89">
        <f t="shared" si="114"/>
        <v>12037.2</v>
      </c>
      <c r="Q209" s="257">
        <f t="shared" si="110"/>
        <v>367087</v>
      </c>
      <c r="R209" s="79">
        <f t="shared" si="111"/>
        <v>12236.233333333334</v>
      </c>
      <c r="S209" s="492">
        <v>4724</v>
      </c>
      <c r="T209" s="491">
        <v>3778</v>
      </c>
      <c r="U209" s="256">
        <f t="shared" si="112"/>
        <v>361116</v>
      </c>
      <c r="V209" s="434">
        <f t="shared" si="113"/>
        <v>367087</v>
      </c>
      <c r="W209" s="78"/>
      <c r="X209" s="675"/>
      <c r="Y209" s="78"/>
      <c r="Z209" s="675"/>
      <c r="AA209" s="78"/>
      <c r="AB209" s="675"/>
      <c r="AC209" s="78"/>
      <c r="AD209" s="675"/>
      <c r="AE209" s="256">
        <f t="shared" si="102"/>
        <v>0</v>
      </c>
      <c r="AF209" s="89">
        <f t="shared" si="103"/>
        <v>0</v>
      </c>
      <c r="AG209" s="257">
        <f t="shared" si="104"/>
        <v>0</v>
      </c>
      <c r="AH209" s="79">
        <f t="shared" si="105"/>
        <v>0</v>
      </c>
      <c r="AI209" s="78"/>
      <c r="AJ209" s="675"/>
      <c r="AK209" s="256">
        <f t="shared" si="106"/>
        <v>0</v>
      </c>
      <c r="AL209" s="434">
        <f t="shared" si="107"/>
        <v>0</v>
      </c>
      <c r="AM209" s="78"/>
      <c r="AN209" s="675"/>
      <c r="AO209" s="78">
        <v>8982</v>
      </c>
      <c r="AP209" s="493">
        <v>8741</v>
      </c>
      <c r="AQ209" s="78">
        <v>4117</v>
      </c>
      <c r="AR209" s="494">
        <v>5210</v>
      </c>
      <c r="AS209" s="78">
        <v>8709</v>
      </c>
      <c r="AT209" s="495">
        <v>8990</v>
      </c>
      <c r="AU209" s="258">
        <f t="shared" si="96"/>
        <v>21808</v>
      </c>
      <c r="AV209" s="89">
        <f t="shared" si="115"/>
        <v>908.66666666666663</v>
      </c>
      <c r="AW209" s="257">
        <f t="shared" si="98"/>
        <v>22941</v>
      </c>
      <c r="AX209" s="79">
        <f t="shared" si="99"/>
        <v>955.875</v>
      </c>
      <c r="AY209" s="259">
        <f t="shared" si="100"/>
        <v>12945.866666666667</v>
      </c>
      <c r="AZ209" s="79">
        <f t="shared" si="101"/>
        <v>13192.108333333334</v>
      </c>
      <c r="BA209" s="680"/>
    </row>
    <row r="210" spans="1:53" s="267" customFormat="1">
      <c r="A210" s="287" t="s">
        <v>795</v>
      </c>
      <c r="B210" s="288" t="s">
        <v>800</v>
      </c>
      <c r="C210" s="287">
        <v>160621</v>
      </c>
      <c r="D210" s="270">
        <v>3</v>
      </c>
      <c r="E210" s="148" t="s">
        <v>393</v>
      </c>
      <c r="F210" s="488" t="s">
        <v>393</v>
      </c>
      <c r="G210" s="78"/>
      <c r="H210" s="675"/>
      <c r="I210" s="78">
        <v>98889</v>
      </c>
      <c r="J210" s="489">
        <v>93756</v>
      </c>
      <c r="K210" s="78">
        <v>17868</v>
      </c>
      <c r="L210" s="490">
        <v>18641</v>
      </c>
      <c r="M210" s="78">
        <v>99920</v>
      </c>
      <c r="N210" s="491">
        <v>99197</v>
      </c>
      <c r="O210" s="256">
        <f t="shared" si="108"/>
        <v>216677</v>
      </c>
      <c r="P210" s="89">
        <f t="shared" si="114"/>
        <v>7222.5666666666666</v>
      </c>
      <c r="Q210" s="257">
        <f t="shared" si="110"/>
        <v>211594</v>
      </c>
      <c r="R210" s="79">
        <f t="shared" si="111"/>
        <v>7053.1333333333332</v>
      </c>
      <c r="S210" s="492">
        <v>232</v>
      </c>
      <c r="T210" s="491">
        <v>18</v>
      </c>
      <c r="U210" s="256">
        <f t="shared" si="112"/>
        <v>216677</v>
      </c>
      <c r="V210" s="434">
        <f t="shared" si="113"/>
        <v>211594</v>
      </c>
      <c r="W210" s="78"/>
      <c r="X210" s="675"/>
      <c r="Y210" s="78"/>
      <c r="Z210" s="675"/>
      <c r="AA210" s="78"/>
      <c r="AB210" s="675"/>
      <c r="AC210" s="78"/>
      <c r="AD210" s="675"/>
      <c r="AE210" s="256">
        <f t="shared" si="102"/>
        <v>0</v>
      </c>
      <c r="AF210" s="89">
        <f t="shared" si="103"/>
        <v>0</v>
      </c>
      <c r="AG210" s="257">
        <f t="shared" si="104"/>
        <v>0</v>
      </c>
      <c r="AH210" s="79">
        <f t="shared" si="105"/>
        <v>0</v>
      </c>
      <c r="AI210" s="78"/>
      <c r="AJ210" s="675"/>
      <c r="AK210" s="256">
        <f t="shared" si="106"/>
        <v>0</v>
      </c>
      <c r="AL210" s="434">
        <f t="shared" si="107"/>
        <v>0</v>
      </c>
      <c r="AM210" s="78"/>
      <c r="AN210" s="675"/>
      <c r="AO210" s="78">
        <v>7871</v>
      </c>
      <c r="AP210" s="493">
        <v>8285</v>
      </c>
      <c r="AQ210" s="78">
        <v>1828</v>
      </c>
      <c r="AR210" s="494">
        <v>1911</v>
      </c>
      <c r="AS210" s="78">
        <v>8660</v>
      </c>
      <c r="AT210" s="495">
        <v>9534</v>
      </c>
      <c r="AU210" s="258">
        <f t="shared" si="96"/>
        <v>18359</v>
      </c>
      <c r="AV210" s="89">
        <f t="shared" si="115"/>
        <v>764.95833333333337</v>
      </c>
      <c r="AW210" s="257">
        <f t="shared" si="98"/>
        <v>19730</v>
      </c>
      <c r="AX210" s="79">
        <f t="shared" si="99"/>
        <v>822.08333333333337</v>
      </c>
      <c r="AY210" s="259">
        <f t="shared" si="100"/>
        <v>7987.5249999999996</v>
      </c>
      <c r="AZ210" s="79">
        <f t="shared" si="101"/>
        <v>7875.2166666666662</v>
      </c>
      <c r="BA210" s="677"/>
    </row>
    <row r="211" spans="1:53" s="267" customFormat="1">
      <c r="A211" s="287" t="s">
        <v>795</v>
      </c>
      <c r="B211" s="288" t="s">
        <v>801</v>
      </c>
      <c r="C211" s="287">
        <v>159993</v>
      </c>
      <c r="D211" s="270">
        <v>3</v>
      </c>
      <c r="E211" s="148" t="s">
        <v>393</v>
      </c>
      <c r="F211" s="488" t="s">
        <v>393</v>
      </c>
      <c r="G211" s="78"/>
      <c r="H211" s="675"/>
      <c r="I211" s="78">
        <v>83928</v>
      </c>
      <c r="J211" s="489">
        <v>86823</v>
      </c>
      <c r="K211" s="78">
        <v>16214</v>
      </c>
      <c r="L211" s="490">
        <v>21017</v>
      </c>
      <c r="M211" s="78">
        <v>95098</v>
      </c>
      <c r="N211" s="491">
        <v>97378</v>
      </c>
      <c r="O211" s="256">
        <f t="shared" si="108"/>
        <v>195240</v>
      </c>
      <c r="P211" s="89">
        <f t="shared" si="114"/>
        <v>6508</v>
      </c>
      <c r="Q211" s="257">
        <f t="shared" si="110"/>
        <v>205218</v>
      </c>
      <c r="R211" s="79">
        <f t="shared" si="111"/>
        <v>6840.6</v>
      </c>
      <c r="S211" s="492">
        <v>4831</v>
      </c>
      <c r="T211" s="491">
        <v>6151</v>
      </c>
      <c r="U211" s="256">
        <f t="shared" si="112"/>
        <v>195240</v>
      </c>
      <c r="V211" s="434">
        <f t="shared" si="113"/>
        <v>205218</v>
      </c>
      <c r="W211" s="78"/>
      <c r="X211" s="675"/>
      <c r="Y211" s="78"/>
      <c r="Z211" s="675"/>
      <c r="AA211" s="78"/>
      <c r="AB211" s="675"/>
      <c r="AC211" s="78"/>
      <c r="AD211" s="675"/>
      <c r="AE211" s="256">
        <f t="shared" si="102"/>
        <v>0</v>
      </c>
      <c r="AF211" s="89">
        <f t="shared" si="103"/>
        <v>0</v>
      </c>
      <c r="AG211" s="257">
        <f t="shared" si="104"/>
        <v>0</v>
      </c>
      <c r="AH211" s="79">
        <f t="shared" si="105"/>
        <v>0</v>
      </c>
      <c r="AI211" s="78"/>
      <c r="AJ211" s="675"/>
      <c r="AK211" s="256">
        <f t="shared" si="106"/>
        <v>0</v>
      </c>
      <c r="AL211" s="434">
        <f t="shared" si="107"/>
        <v>0</v>
      </c>
      <c r="AM211" s="78"/>
      <c r="AN211" s="675"/>
      <c r="AO211" s="78">
        <v>11509</v>
      </c>
      <c r="AP211" s="493">
        <v>11599</v>
      </c>
      <c r="AQ211" s="78">
        <v>6100</v>
      </c>
      <c r="AR211" s="494">
        <v>5190</v>
      </c>
      <c r="AS211" s="78">
        <v>11931</v>
      </c>
      <c r="AT211" s="495">
        <v>11435</v>
      </c>
      <c r="AU211" s="258">
        <f t="shared" si="96"/>
        <v>29540</v>
      </c>
      <c r="AV211" s="89">
        <f t="shared" si="115"/>
        <v>1230.8333333333333</v>
      </c>
      <c r="AW211" s="257">
        <f t="shared" si="98"/>
        <v>28224</v>
      </c>
      <c r="AX211" s="79">
        <f t="shared" si="99"/>
        <v>1176</v>
      </c>
      <c r="AY211" s="259">
        <f t="shared" si="100"/>
        <v>7738.833333333333</v>
      </c>
      <c r="AZ211" s="79">
        <f t="shared" si="101"/>
        <v>8016.6</v>
      </c>
      <c r="BA211" s="677"/>
    </row>
    <row r="212" spans="1:53" s="267" customFormat="1">
      <c r="A212" s="500" t="s">
        <v>795</v>
      </c>
      <c r="B212" s="288" t="s">
        <v>802</v>
      </c>
      <c r="C212" s="287">
        <v>159009</v>
      </c>
      <c r="D212" s="270">
        <v>4</v>
      </c>
      <c r="E212" s="148" t="s">
        <v>393</v>
      </c>
      <c r="F212" s="488" t="s">
        <v>393</v>
      </c>
      <c r="G212" s="78"/>
      <c r="H212" s="675"/>
      <c r="I212" s="78">
        <v>64243</v>
      </c>
      <c r="J212" s="489">
        <v>64163</v>
      </c>
      <c r="K212" s="78">
        <v>10196</v>
      </c>
      <c r="L212" s="490">
        <v>13218</v>
      </c>
      <c r="M212" s="78">
        <v>68185</v>
      </c>
      <c r="N212" s="491">
        <v>62566</v>
      </c>
      <c r="O212" s="256">
        <f t="shared" si="108"/>
        <v>142624</v>
      </c>
      <c r="P212" s="89">
        <f t="shared" si="114"/>
        <v>4754.1333333333332</v>
      </c>
      <c r="Q212" s="257">
        <f t="shared" si="110"/>
        <v>139947</v>
      </c>
      <c r="R212" s="79">
        <f t="shared" si="111"/>
        <v>4664.8999999999996</v>
      </c>
      <c r="S212" s="492">
        <v>87</v>
      </c>
      <c r="T212" s="491">
        <v>110</v>
      </c>
      <c r="U212" s="256">
        <f t="shared" si="112"/>
        <v>142624</v>
      </c>
      <c r="V212" s="434">
        <f t="shared" si="113"/>
        <v>139947</v>
      </c>
      <c r="W212" s="78"/>
      <c r="X212" s="675"/>
      <c r="Y212" s="78"/>
      <c r="Z212" s="675"/>
      <c r="AA212" s="78"/>
      <c r="AB212" s="675"/>
      <c r="AC212" s="78"/>
      <c r="AD212" s="675"/>
      <c r="AE212" s="256">
        <f t="shared" si="102"/>
        <v>0</v>
      </c>
      <c r="AF212" s="89">
        <f t="shared" si="103"/>
        <v>0</v>
      </c>
      <c r="AG212" s="257">
        <f t="shared" si="104"/>
        <v>0</v>
      </c>
      <c r="AH212" s="79">
        <f t="shared" si="105"/>
        <v>0</v>
      </c>
      <c r="AI212" s="78"/>
      <c r="AJ212" s="675"/>
      <c r="AK212" s="256">
        <f t="shared" si="106"/>
        <v>0</v>
      </c>
      <c r="AL212" s="434">
        <f t="shared" si="107"/>
        <v>0</v>
      </c>
      <c r="AM212" s="78"/>
      <c r="AN212" s="675"/>
      <c r="AO212" s="78">
        <v>3339</v>
      </c>
      <c r="AP212" s="493">
        <v>3829</v>
      </c>
      <c r="AQ212" s="78">
        <v>1496</v>
      </c>
      <c r="AR212" s="494">
        <v>1669</v>
      </c>
      <c r="AS212" s="78">
        <v>3726</v>
      </c>
      <c r="AT212" s="495">
        <v>3863</v>
      </c>
      <c r="AU212" s="258">
        <f t="shared" si="96"/>
        <v>8561</v>
      </c>
      <c r="AV212" s="89">
        <f t="shared" si="115"/>
        <v>356.70833333333331</v>
      </c>
      <c r="AW212" s="257">
        <f t="shared" si="98"/>
        <v>9361</v>
      </c>
      <c r="AX212" s="79">
        <f t="shared" si="99"/>
        <v>390.04166666666669</v>
      </c>
      <c r="AY212" s="259">
        <f t="shared" si="100"/>
        <v>5110.8416666666662</v>
      </c>
      <c r="AZ212" s="79">
        <f t="shared" si="101"/>
        <v>5054.9416666666666</v>
      </c>
      <c r="BA212" s="677"/>
    </row>
    <row r="213" spans="1:53" s="267" customFormat="1">
      <c r="A213" s="500" t="s">
        <v>795</v>
      </c>
      <c r="B213" s="288" t="s">
        <v>803</v>
      </c>
      <c r="C213" s="287">
        <v>159416</v>
      </c>
      <c r="D213" s="270">
        <v>4</v>
      </c>
      <c r="E213" s="148" t="s">
        <v>393</v>
      </c>
      <c r="F213" s="488" t="s">
        <v>393</v>
      </c>
      <c r="G213" s="78"/>
      <c r="H213" s="675"/>
      <c r="I213" s="78">
        <v>37785</v>
      </c>
      <c r="J213" s="489">
        <v>39525</v>
      </c>
      <c r="K213" s="78">
        <v>8384</v>
      </c>
      <c r="L213" s="490">
        <v>9090</v>
      </c>
      <c r="M213" s="78">
        <v>41914</v>
      </c>
      <c r="N213" s="491">
        <v>43833</v>
      </c>
      <c r="O213" s="256">
        <f t="shared" si="108"/>
        <v>88083</v>
      </c>
      <c r="P213" s="89">
        <f t="shared" si="114"/>
        <v>2936.1</v>
      </c>
      <c r="Q213" s="257">
        <f t="shared" si="110"/>
        <v>92448</v>
      </c>
      <c r="R213" s="79">
        <f t="shared" si="111"/>
        <v>3081.6</v>
      </c>
      <c r="S213" s="492">
        <v>2337</v>
      </c>
      <c r="T213" s="491">
        <v>5137</v>
      </c>
      <c r="U213" s="256">
        <f t="shared" si="112"/>
        <v>88083</v>
      </c>
      <c r="V213" s="434">
        <f t="shared" si="113"/>
        <v>92448</v>
      </c>
      <c r="W213" s="78"/>
      <c r="X213" s="675"/>
      <c r="Y213" s="78"/>
      <c r="Z213" s="675"/>
      <c r="AA213" s="78"/>
      <c r="AB213" s="675"/>
      <c r="AC213" s="78"/>
      <c r="AD213" s="675"/>
      <c r="AE213" s="256">
        <f t="shared" si="102"/>
        <v>0</v>
      </c>
      <c r="AF213" s="89">
        <f t="shared" si="103"/>
        <v>0</v>
      </c>
      <c r="AG213" s="257">
        <f t="shared" si="104"/>
        <v>0</v>
      </c>
      <c r="AH213" s="79">
        <f t="shared" si="105"/>
        <v>0</v>
      </c>
      <c r="AI213" s="78"/>
      <c r="AJ213" s="675"/>
      <c r="AK213" s="256">
        <f t="shared" si="106"/>
        <v>0</v>
      </c>
      <c r="AL213" s="434">
        <f t="shared" si="107"/>
        <v>0</v>
      </c>
      <c r="AM213" s="78"/>
      <c r="AN213" s="675"/>
      <c r="AO213" s="78">
        <v>2251</v>
      </c>
      <c r="AP213" s="493">
        <v>2435</v>
      </c>
      <c r="AQ213" s="78">
        <v>1281</v>
      </c>
      <c r="AR213" s="494">
        <v>1082</v>
      </c>
      <c r="AS213" s="78">
        <v>2385</v>
      </c>
      <c r="AT213" s="495">
        <v>2887</v>
      </c>
      <c r="AU213" s="258">
        <f t="shared" si="96"/>
        <v>5917</v>
      </c>
      <c r="AV213" s="89">
        <f t="shared" si="115"/>
        <v>246.54166666666666</v>
      </c>
      <c r="AW213" s="257">
        <f t="shared" si="98"/>
        <v>6404</v>
      </c>
      <c r="AX213" s="79">
        <f t="shared" si="99"/>
        <v>266.83333333333331</v>
      </c>
      <c r="AY213" s="259">
        <f t="shared" si="100"/>
        <v>3182.6416666666664</v>
      </c>
      <c r="AZ213" s="79">
        <f t="shared" si="101"/>
        <v>3348.4333333333334</v>
      </c>
      <c r="BA213" s="677"/>
    </row>
    <row r="214" spans="1:53" s="93" customFormat="1">
      <c r="A214" s="500" t="s">
        <v>795</v>
      </c>
      <c r="B214" s="288" t="s">
        <v>804</v>
      </c>
      <c r="C214" s="287">
        <v>159717</v>
      </c>
      <c r="D214" s="270">
        <v>4</v>
      </c>
      <c r="E214" s="148" t="s">
        <v>393</v>
      </c>
      <c r="F214" s="488" t="s">
        <v>393</v>
      </c>
      <c r="G214" s="78"/>
      <c r="H214" s="675"/>
      <c r="I214" s="78">
        <v>92412</v>
      </c>
      <c r="J214" s="489">
        <v>92005</v>
      </c>
      <c r="K214" s="78">
        <v>11373</v>
      </c>
      <c r="L214" s="490">
        <v>12498</v>
      </c>
      <c r="M214" s="78">
        <v>100054</v>
      </c>
      <c r="N214" s="491">
        <v>103167</v>
      </c>
      <c r="O214" s="256">
        <f t="shared" si="108"/>
        <v>203839</v>
      </c>
      <c r="P214" s="89">
        <f t="shared" si="114"/>
        <v>6794.6333333333332</v>
      </c>
      <c r="Q214" s="257">
        <f t="shared" si="110"/>
        <v>207670</v>
      </c>
      <c r="R214" s="79">
        <f t="shared" si="111"/>
        <v>6922.333333333333</v>
      </c>
      <c r="S214" s="492">
        <v>2362</v>
      </c>
      <c r="T214" s="491">
        <v>3243</v>
      </c>
      <c r="U214" s="256">
        <f t="shared" si="112"/>
        <v>203839</v>
      </c>
      <c r="V214" s="434">
        <f t="shared" si="113"/>
        <v>207670</v>
      </c>
      <c r="W214" s="78"/>
      <c r="X214" s="675"/>
      <c r="Y214" s="78"/>
      <c r="Z214" s="675"/>
      <c r="AA214" s="78"/>
      <c r="AB214" s="675"/>
      <c r="AC214" s="78"/>
      <c r="AD214" s="675"/>
      <c r="AE214" s="256">
        <f t="shared" si="102"/>
        <v>0</v>
      </c>
      <c r="AF214" s="89">
        <f t="shared" si="103"/>
        <v>0</v>
      </c>
      <c r="AG214" s="257">
        <f t="shared" si="104"/>
        <v>0</v>
      </c>
      <c r="AH214" s="79">
        <f t="shared" si="105"/>
        <v>0</v>
      </c>
      <c r="AI214" s="78"/>
      <c r="AJ214" s="675"/>
      <c r="AK214" s="256">
        <f t="shared" si="106"/>
        <v>0</v>
      </c>
      <c r="AL214" s="434">
        <f t="shared" si="107"/>
        <v>0</v>
      </c>
      <c r="AM214" s="78"/>
      <c r="AN214" s="675"/>
      <c r="AO214" s="78">
        <v>6176</v>
      </c>
      <c r="AP214" s="493">
        <v>6001</v>
      </c>
      <c r="AQ214" s="78">
        <v>2399</v>
      </c>
      <c r="AR214" s="494">
        <v>2577</v>
      </c>
      <c r="AS214" s="78">
        <v>6112</v>
      </c>
      <c r="AT214" s="495">
        <v>6702</v>
      </c>
      <c r="AU214" s="258">
        <f t="shared" si="96"/>
        <v>14687</v>
      </c>
      <c r="AV214" s="89">
        <f t="shared" si="115"/>
        <v>611.95833333333337</v>
      </c>
      <c r="AW214" s="257">
        <f t="shared" si="98"/>
        <v>15280</v>
      </c>
      <c r="AX214" s="79">
        <f t="shared" si="99"/>
        <v>636.66666666666663</v>
      </c>
      <c r="AY214" s="259">
        <f t="shared" si="100"/>
        <v>7406.5916666666662</v>
      </c>
      <c r="AZ214" s="79">
        <f t="shared" si="101"/>
        <v>7559</v>
      </c>
      <c r="BA214" s="677"/>
    </row>
    <row r="215" spans="1:53" s="267" customFormat="1">
      <c r="A215" s="500" t="s">
        <v>795</v>
      </c>
      <c r="B215" s="288" t="s">
        <v>805</v>
      </c>
      <c r="C215" s="287">
        <v>159966</v>
      </c>
      <c r="D215" s="270">
        <v>4</v>
      </c>
      <c r="E215" s="148" t="s">
        <v>393</v>
      </c>
      <c r="F215" s="488" t="s">
        <v>393</v>
      </c>
      <c r="G215" s="78"/>
      <c r="H215" s="675"/>
      <c r="I215" s="78">
        <v>76760</v>
      </c>
      <c r="J215" s="489">
        <v>78974</v>
      </c>
      <c r="K215" s="78">
        <v>12286</v>
      </c>
      <c r="L215" s="490">
        <v>15515</v>
      </c>
      <c r="M215" s="78">
        <v>84910</v>
      </c>
      <c r="N215" s="491">
        <v>87139</v>
      </c>
      <c r="O215" s="256">
        <f t="shared" si="108"/>
        <v>173956</v>
      </c>
      <c r="P215" s="89">
        <f t="shared" si="114"/>
        <v>5798.5333333333338</v>
      </c>
      <c r="Q215" s="257">
        <f t="shared" si="110"/>
        <v>181628</v>
      </c>
      <c r="R215" s="79">
        <f t="shared" si="111"/>
        <v>6054.2666666666664</v>
      </c>
      <c r="S215" s="492">
        <v>1531</v>
      </c>
      <c r="T215" s="491">
        <v>2176</v>
      </c>
      <c r="U215" s="256">
        <f t="shared" si="112"/>
        <v>173956</v>
      </c>
      <c r="V215" s="434">
        <f t="shared" si="113"/>
        <v>181628</v>
      </c>
      <c r="W215" s="78"/>
      <c r="X215" s="675"/>
      <c r="Y215" s="78"/>
      <c r="Z215" s="675"/>
      <c r="AA215" s="78"/>
      <c r="AB215" s="675"/>
      <c r="AC215" s="78"/>
      <c r="AD215" s="675"/>
      <c r="AE215" s="256">
        <f t="shared" si="102"/>
        <v>0</v>
      </c>
      <c r="AF215" s="89">
        <f t="shared" si="103"/>
        <v>0</v>
      </c>
      <c r="AG215" s="257">
        <f t="shared" si="104"/>
        <v>0</v>
      </c>
      <c r="AH215" s="79">
        <f t="shared" si="105"/>
        <v>0</v>
      </c>
      <c r="AI215" s="78"/>
      <c r="AJ215" s="675"/>
      <c r="AK215" s="256">
        <f t="shared" si="106"/>
        <v>0</v>
      </c>
      <c r="AL215" s="434">
        <f t="shared" si="107"/>
        <v>0</v>
      </c>
      <c r="AM215" s="78"/>
      <c r="AN215" s="675"/>
      <c r="AO215" s="78">
        <v>3101</v>
      </c>
      <c r="AP215" s="493">
        <v>3319</v>
      </c>
      <c r="AQ215" s="78">
        <v>3230</v>
      </c>
      <c r="AR215" s="494">
        <v>2702</v>
      </c>
      <c r="AS215" s="78">
        <v>3302</v>
      </c>
      <c r="AT215" s="495">
        <v>3733</v>
      </c>
      <c r="AU215" s="258">
        <f t="shared" si="96"/>
        <v>9633</v>
      </c>
      <c r="AV215" s="89">
        <f t="shared" si="115"/>
        <v>401.375</v>
      </c>
      <c r="AW215" s="257">
        <f t="shared" si="98"/>
        <v>9754</v>
      </c>
      <c r="AX215" s="79">
        <f t="shared" si="99"/>
        <v>406.41666666666669</v>
      </c>
      <c r="AY215" s="259">
        <f t="shared" si="100"/>
        <v>6199.9083333333338</v>
      </c>
      <c r="AZ215" s="79">
        <f t="shared" si="101"/>
        <v>6460.6833333333334</v>
      </c>
      <c r="BA215" s="677"/>
    </row>
    <row r="216" spans="1:53" s="267" customFormat="1">
      <c r="A216" s="500" t="s">
        <v>795</v>
      </c>
      <c r="B216" s="288" t="s">
        <v>806</v>
      </c>
      <c r="C216" s="287">
        <v>160038</v>
      </c>
      <c r="D216" s="270">
        <v>4</v>
      </c>
      <c r="E216" s="148" t="s">
        <v>393</v>
      </c>
      <c r="F216" s="488" t="s">
        <v>393</v>
      </c>
      <c r="G216" s="78"/>
      <c r="H216" s="675"/>
      <c r="I216" s="78">
        <v>95584</v>
      </c>
      <c r="J216" s="489">
        <v>92138</v>
      </c>
      <c r="K216" s="78">
        <v>21194</v>
      </c>
      <c r="L216" s="490">
        <v>22227</v>
      </c>
      <c r="M216" s="78">
        <v>101155</v>
      </c>
      <c r="N216" s="491">
        <v>101195</v>
      </c>
      <c r="O216" s="256">
        <f t="shared" si="108"/>
        <v>217933</v>
      </c>
      <c r="P216" s="89">
        <f t="shared" si="114"/>
        <v>7264.4333333333334</v>
      </c>
      <c r="Q216" s="257">
        <f t="shared" si="110"/>
        <v>215560</v>
      </c>
      <c r="R216" s="79">
        <f t="shared" si="111"/>
        <v>7185.333333333333</v>
      </c>
      <c r="S216" s="492">
        <v>3496</v>
      </c>
      <c r="T216" s="491">
        <v>4770</v>
      </c>
      <c r="U216" s="256">
        <f t="shared" si="112"/>
        <v>217933</v>
      </c>
      <c r="V216" s="434">
        <f t="shared" si="113"/>
        <v>215560</v>
      </c>
      <c r="W216" s="78"/>
      <c r="X216" s="675"/>
      <c r="Y216" s="78"/>
      <c r="Z216" s="675"/>
      <c r="AA216" s="78"/>
      <c r="AB216" s="675"/>
      <c r="AC216" s="78"/>
      <c r="AD216" s="675"/>
      <c r="AE216" s="256">
        <f t="shared" si="102"/>
        <v>0</v>
      </c>
      <c r="AF216" s="89">
        <f t="shared" si="103"/>
        <v>0</v>
      </c>
      <c r="AG216" s="257">
        <f t="shared" si="104"/>
        <v>0</v>
      </c>
      <c r="AH216" s="79">
        <f t="shared" si="105"/>
        <v>0</v>
      </c>
      <c r="AI216" s="78"/>
      <c r="AJ216" s="675"/>
      <c r="AK216" s="256">
        <f t="shared" si="106"/>
        <v>0</v>
      </c>
      <c r="AL216" s="434">
        <f t="shared" si="107"/>
        <v>0</v>
      </c>
      <c r="AM216" s="78"/>
      <c r="AN216" s="675"/>
      <c r="AO216" s="78">
        <v>6287</v>
      </c>
      <c r="AP216" s="493">
        <v>5992</v>
      </c>
      <c r="AQ216" s="78">
        <v>4511</v>
      </c>
      <c r="AR216" s="494">
        <v>4444</v>
      </c>
      <c r="AS216" s="78">
        <v>6344</v>
      </c>
      <c r="AT216" s="495">
        <v>6682</v>
      </c>
      <c r="AU216" s="258">
        <f t="shared" si="96"/>
        <v>17142</v>
      </c>
      <c r="AV216" s="89">
        <f t="shared" si="115"/>
        <v>714.25</v>
      </c>
      <c r="AW216" s="257">
        <f t="shared" si="98"/>
        <v>17118</v>
      </c>
      <c r="AX216" s="79">
        <f t="shared" si="99"/>
        <v>713.25</v>
      </c>
      <c r="AY216" s="259">
        <f t="shared" si="100"/>
        <v>7978.6833333333334</v>
      </c>
      <c r="AZ216" s="79">
        <f t="shared" si="101"/>
        <v>7898.583333333333</v>
      </c>
      <c r="BA216" s="677"/>
    </row>
    <row r="217" spans="1:53" s="93" customFormat="1">
      <c r="A217" s="500" t="s">
        <v>795</v>
      </c>
      <c r="B217" s="501" t="s">
        <v>807</v>
      </c>
      <c r="C217" s="502">
        <v>160630</v>
      </c>
      <c r="D217" s="503">
        <v>4</v>
      </c>
      <c r="E217" s="148" t="s">
        <v>393</v>
      </c>
      <c r="F217" s="488" t="s">
        <v>393</v>
      </c>
      <c r="G217" s="78"/>
      <c r="H217" s="675"/>
      <c r="I217" s="78">
        <v>28548</v>
      </c>
      <c r="J217" s="489">
        <v>28112</v>
      </c>
      <c r="K217" s="78">
        <v>1761</v>
      </c>
      <c r="L217" s="490">
        <v>3991</v>
      </c>
      <c r="M217" s="78">
        <v>29982</v>
      </c>
      <c r="N217" s="491">
        <v>32760</v>
      </c>
      <c r="O217" s="256">
        <f t="shared" si="108"/>
        <v>60291</v>
      </c>
      <c r="P217" s="89">
        <f t="shared" si="114"/>
        <v>2009.7</v>
      </c>
      <c r="Q217" s="257">
        <f t="shared" si="110"/>
        <v>64863</v>
      </c>
      <c r="R217" s="79">
        <f t="shared" si="111"/>
        <v>2162.1</v>
      </c>
      <c r="S217" s="492">
        <v>1156</v>
      </c>
      <c r="T217" s="491">
        <v>629</v>
      </c>
      <c r="U217" s="256">
        <f t="shared" si="112"/>
        <v>60291</v>
      </c>
      <c r="V217" s="434">
        <f t="shared" si="113"/>
        <v>64863</v>
      </c>
      <c r="W217" s="78"/>
      <c r="X217" s="675"/>
      <c r="Y217" s="78"/>
      <c r="Z217" s="675"/>
      <c r="AA217" s="78"/>
      <c r="AB217" s="675"/>
      <c r="AC217" s="78"/>
      <c r="AD217" s="675"/>
      <c r="AE217" s="256">
        <f t="shared" si="102"/>
        <v>0</v>
      </c>
      <c r="AF217" s="89">
        <f t="shared" si="103"/>
        <v>0</v>
      </c>
      <c r="AG217" s="257">
        <f t="shared" si="104"/>
        <v>0</v>
      </c>
      <c r="AH217" s="79">
        <f t="shared" si="105"/>
        <v>0</v>
      </c>
      <c r="AI217" s="78"/>
      <c r="AJ217" s="675"/>
      <c r="AK217" s="256">
        <f t="shared" si="106"/>
        <v>0</v>
      </c>
      <c r="AL217" s="434">
        <f t="shared" si="107"/>
        <v>0</v>
      </c>
      <c r="AM217" s="78"/>
      <c r="AN217" s="675"/>
      <c r="AO217" s="78">
        <v>4044</v>
      </c>
      <c r="AP217" s="493">
        <v>4115</v>
      </c>
      <c r="AQ217" s="78">
        <v>472</v>
      </c>
      <c r="AR217" s="494">
        <v>1099</v>
      </c>
      <c r="AS217" s="78">
        <v>5083</v>
      </c>
      <c r="AT217" s="495">
        <v>4271</v>
      </c>
      <c r="AU217" s="258">
        <f t="shared" si="96"/>
        <v>9599</v>
      </c>
      <c r="AV217" s="89">
        <f t="shared" si="115"/>
        <v>399.95833333333331</v>
      </c>
      <c r="AW217" s="257">
        <f t="shared" si="98"/>
        <v>9485</v>
      </c>
      <c r="AX217" s="79">
        <f t="shared" si="99"/>
        <v>395.20833333333331</v>
      </c>
      <c r="AY217" s="259">
        <f t="shared" si="100"/>
        <v>2409.6583333333333</v>
      </c>
      <c r="AZ217" s="79">
        <f t="shared" si="101"/>
        <v>2557.3083333333334</v>
      </c>
      <c r="BA217" s="677"/>
    </row>
    <row r="218" spans="1:53" s="93" customFormat="1">
      <c r="A218" s="500" t="s">
        <v>795</v>
      </c>
      <c r="B218" s="288" t="s">
        <v>808</v>
      </c>
      <c r="C218" s="287">
        <v>159382</v>
      </c>
      <c r="D218" s="270">
        <v>7</v>
      </c>
      <c r="E218" s="148" t="s">
        <v>393</v>
      </c>
      <c r="F218" s="488" t="s">
        <v>393</v>
      </c>
      <c r="G218" s="78"/>
      <c r="H218" s="675"/>
      <c r="I218" s="78">
        <v>25547</v>
      </c>
      <c r="J218" s="489">
        <v>25763</v>
      </c>
      <c r="K218" s="78">
        <v>4330</v>
      </c>
      <c r="L218" s="490">
        <v>4428</v>
      </c>
      <c r="M218" s="78">
        <v>28249</v>
      </c>
      <c r="N218" s="491">
        <v>26533</v>
      </c>
      <c r="O218" s="256">
        <f t="shared" si="108"/>
        <v>58126</v>
      </c>
      <c r="P218" s="89">
        <f t="shared" si="114"/>
        <v>1937.5333333333333</v>
      </c>
      <c r="Q218" s="257">
        <f t="shared" si="110"/>
        <v>56724</v>
      </c>
      <c r="R218" s="79">
        <f t="shared" si="111"/>
        <v>1890.8</v>
      </c>
      <c r="S218" s="492">
        <v>4198</v>
      </c>
      <c r="T218" s="491">
        <v>3309</v>
      </c>
      <c r="U218" s="256">
        <f t="shared" si="112"/>
        <v>58126</v>
      </c>
      <c r="V218" s="434">
        <f t="shared" si="113"/>
        <v>56724</v>
      </c>
      <c r="W218" s="78"/>
      <c r="X218" s="675"/>
      <c r="Y218" s="78"/>
      <c r="Z218" s="675"/>
      <c r="AA218" s="78"/>
      <c r="AB218" s="675"/>
      <c r="AC218" s="78"/>
      <c r="AD218" s="675"/>
      <c r="AE218" s="256">
        <f t="shared" si="102"/>
        <v>0</v>
      </c>
      <c r="AF218" s="89">
        <f t="shared" si="103"/>
        <v>0</v>
      </c>
      <c r="AG218" s="257">
        <f t="shared" si="104"/>
        <v>0</v>
      </c>
      <c r="AH218" s="79">
        <f t="shared" si="105"/>
        <v>0</v>
      </c>
      <c r="AI218" s="78"/>
      <c r="AJ218" s="675"/>
      <c r="AK218" s="256">
        <f t="shared" si="106"/>
        <v>0</v>
      </c>
      <c r="AL218" s="434">
        <f t="shared" si="107"/>
        <v>0</v>
      </c>
      <c r="AM218" s="78"/>
      <c r="AN218" s="675"/>
      <c r="AO218" s="78"/>
      <c r="AP218" s="675"/>
      <c r="AQ218" s="78"/>
      <c r="AR218" s="675"/>
      <c r="AS218" s="78"/>
      <c r="AT218" s="675"/>
      <c r="AU218" s="258">
        <f t="shared" si="96"/>
        <v>0</v>
      </c>
      <c r="AV218" s="89">
        <f t="shared" si="115"/>
        <v>0</v>
      </c>
      <c r="AW218" s="257">
        <f t="shared" si="98"/>
        <v>0</v>
      </c>
      <c r="AX218" s="79">
        <f t="shared" si="99"/>
        <v>0</v>
      </c>
      <c r="AY218" s="259">
        <f t="shared" si="100"/>
        <v>1937.5333333333333</v>
      </c>
      <c r="AZ218" s="79">
        <f t="shared" si="101"/>
        <v>1890.8</v>
      </c>
      <c r="BA218" s="677"/>
    </row>
    <row r="219" spans="1:53" s="93" customFormat="1">
      <c r="A219" s="500" t="s">
        <v>795</v>
      </c>
      <c r="B219" s="288" t="s">
        <v>809</v>
      </c>
      <c r="C219" s="287">
        <v>158662</v>
      </c>
      <c r="D219" s="270">
        <v>8</v>
      </c>
      <c r="E219" s="148" t="s">
        <v>393</v>
      </c>
      <c r="F219" s="488" t="s">
        <v>393</v>
      </c>
      <c r="G219" s="78"/>
      <c r="H219" s="675"/>
      <c r="I219" s="78">
        <v>124409</v>
      </c>
      <c r="J219" s="489">
        <v>139048</v>
      </c>
      <c r="K219" s="78">
        <v>30119</v>
      </c>
      <c r="L219" s="490">
        <v>34861</v>
      </c>
      <c r="M219" s="78">
        <v>136216</v>
      </c>
      <c r="N219" s="491">
        <v>161822</v>
      </c>
      <c r="O219" s="256">
        <f t="shared" si="108"/>
        <v>290744</v>
      </c>
      <c r="P219" s="89">
        <f t="shared" si="114"/>
        <v>9691.4666666666672</v>
      </c>
      <c r="Q219" s="257">
        <f t="shared" si="110"/>
        <v>335731</v>
      </c>
      <c r="R219" s="79">
        <f t="shared" si="111"/>
        <v>11191.033333333333</v>
      </c>
      <c r="S219" s="492">
        <v>1386</v>
      </c>
      <c r="T219" s="491">
        <v>1353</v>
      </c>
      <c r="U219" s="256">
        <f t="shared" si="112"/>
        <v>290744</v>
      </c>
      <c r="V219" s="434">
        <f t="shared" si="113"/>
        <v>335731</v>
      </c>
      <c r="W219" s="78"/>
      <c r="X219" s="675"/>
      <c r="Y219" s="78"/>
      <c r="Z219" s="675"/>
      <c r="AA219" s="78"/>
      <c r="AB219" s="675"/>
      <c r="AC219" s="78"/>
      <c r="AD219" s="675"/>
      <c r="AE219" s="256">
        <f t="shared" si="102"/>
        <v>0</v>
      </c>
      <c r="AF219" s="89">
        <f t="shared" si="103"/>
        <v>0</v>
      </c>
      <c r="AG219" s="257">
        <f t="shared" si="104"/>
        <v>0</v>
      </c>
      <c r="AH219" s="79">
        <f t="shared" si="105"/>
        <v>0</v>
      </c>
      <c r="AI219" s="78"/>
      <c r="AJ219" s="675"/>
      <c r="AK219" s="256">
        <f t="shared" si="106"/>
        <v>0</v>
      </c>
      <c r="AL219" s="434">
        <f t="shared" si="107"/>
        <v>0</v>
      </c>
      <c r="AM219" s="78"/>
      <c r="AN219" s="675"/>
      <c r="AO219" s="78"/>
      <c r="AP219" s="675"/>
      <c r="AQ219" s="78"/>
      <c r="AR219" s="675"/>
      <c r="AS219" s="78"/>
      <c r="AT219" s="675"/>
      <c r="AU219" s="258">
        <f t="shared" si="96"/>
        <v>0</v>
      </c>
      <c r="AV219" s="89">
        <f t="shared" si="115"/>
        <v>0</v>
      </c>
      <c r="AW219" s="257">
        <f t="shared" si="98"/>
        <v>0</v>
      </c>
      <c r="AX219" s="79">
        <f t="shared" si="99"/>
        <v>0</v>
      </c>
      <c r="AY219" s="259">
        <f t="shared" si="100"/>
        <v>9691.4666666666672</v>
      </c>
      <c r="AZ219" s="79">
        <f t="shared" si="101"/>
        <v>11191.033333333333</v>
      </c>
      <c r="BA219" s="677"/>
    </row>
    <row r="220" spans="1:53" s="93" customFormat="1">
      <c r="A220" s="500" t="s">
        <v>795</v>
      </c>
      <c r="B220" s="159" t="s">
        <v>810</v>
      </c>
      <c r="C220" s="287">
        <v>437103</v>
      </c>
      <c r="D220" s="270">
        <v>9</v>
      </c>
      <c r="E220" s="148" t="s">
        <v>393</v>
      </c>
      <c r="F220" s="488" t="s">
        <v>393</v>
      </c>
      <c r="G220" s="78"/>
      <c r="H220" s="675"/>
      <c r="I220" s="78">
        <v>64649</v>
      </c>
      <c r="J220" s="489">
        <v>67448</v>
      </c>
      <c r="K220" s="78">
        <v>14029</v>
      </c>
      <c r="L220" s="490">
        <v>11802</v>
      </c>
      <c r="M220" s="78">
        <v>73895</v>
      </c>
      <c r="N220" s="491">
        <v>80298</v>
      </c>
      <c r="O220" s="256">
        <f t="shared" si="108"/>
        <v>152573</v>
      </c>
      <c r="P220" s="89">
        <f t="shared" si="114"/>
        <v>5085.7666666666664</v>
      </c>
      <c r="Q220" s="257">
        <f t="shared" si="110"/>
        <v>159548</v>
      </c>
      <c r="R220" s="79">
        <f t="shared" si="111"/>
        <v>5318.2666666666664</v>
      </c>
      <c r="S220" s="492">
        <v>2422</v>
      </c>
      <c r="T220" s="491">
        <v>2430</v>
      </c>
      <c r="U220" s="256">
        <f t="shared" si="112"/>
        <v>152573</v>
      </c>
      <c r="V220" s="434">
        <f t="shared" si="113"/>
        <v>159548</v>
      </c>
      <c r="W220" s="78"/>
      <c r="X220" s="675"/>
      <c r="Y220" s="78"/>
      <c r="Z220" s="675"/>
      <c r="AA220" s="78"/>
      <c r="AB220" s="675"/>
      <c r="AC220" s="78"/>
      <c r="AD220" s="675"/>
      <c r="AE220" s="256">
        <f t="shared" si="102"/>
        <v>0</v>
      </c>
      <c r="AF220" s="89">
        <f t="shared" si="103"/>
        <v>0</v>
      </c>
      <c r="AG220" s="257">
        <f t="shared" si="104"/>
        <v>0</v>
      </c>
      <c r="AH220" s="79">
        <f t="shared" si="105"/>
        <v>0</v>
      </c>
      <c r="AI220" s="78"/>
      <c r="AJ220" s="675"/>
      <c r="AK220" s="256">
        <f t="shared" si="106"/>
        <v>0</v>
      </c>
      <c r="AL220" s="434">
        <f t="shared" si="107"/>
        <v>0</v>
      </c>
      <c r="AM220" s="78"/>
      <c r="AN220" s="675"/>
      <c r="AO220" s="78"/>
      <c r="AP220" s="675"/>
      <c r="AQ220" s="78"/>
      <c r="AR220" s="675"/>
      <c r="AS220" s="78"/>
      <c r="AT220" s="675"/>
      <c r="AU220" s="258">
        <f t="shared" si="96"/>
        <v>0</v>
      </c>
      <c r="AV220" s="89">
        <f t="shared" si="115"/>
        <v>0</v>
      </c>
      <c r="AW220" s="257">
        <f t="shared" si="98"/>
        <v>0</v>
      </c>
      <c r="AX220" s="79">
        <f t="shared" si="99"/>
        <v>0</v>
      </c>
      <c r="AY220" s="259">
        <f t="shared" si="100"/>
        <v>5085.7666666666664</v>
      </c>
      <c r="AZ220" s="79">
        <f t="shared" si="101"/>
        <v>5318.2666666666664</v>
      </c>
      <c r="BA220" s="677"/>
    </row>
    <row r="221" spans="1:53" s="93" customFormat="1">
      <c r="A221" s="500" t="s">
        <v>795</v>
      </c>
      <c r="B221" s="288" t="s">
        <v>811</v>
      </c>
      <c r="C221" s="287">
        <v>158431</v>
      </c>
      <c r="D221" s="270">
        <v>9</v>
      </c>
      <c r="E221" s="148" t="s">
        <v>393</v>
      </c>
      <c r="F221" s="488" t="s">
        <v>393</v>
      </c>
      <c r="G221" s="78"/>
      <c r="H221" s="675"/>
      <c r="I221" s="78">
        <v>47034</v>
      </c>
      <c r="J221" s="489">
        <v>47887</v>
      </c>
      <c r="K221" s="78">
        <v>9739</v>
      </c>
      <c r="L221" s="490">
        <v>11131</v>
      </c>
      <c r="M221" s="78">
        <v>48050</v>
      </c>
      <c r="N221" s="491">
        <v>56000</v>
      </c>
      <c r="O221" s="256">
        <f t="shared" si="108"/>
        <v>104823</v>
      </c>
      <c r="P221" s="89">
        <f t="shared" si="114"/>
        <v>3494.1</v>
      </c>
      <c r="Q221" s="257">
        <f t="shared" si="110"/>
        <v>115018</v>
      </c>
      <c r="R221" s="79">
        <f t="shared" si="111"/>
        <v>3833.9333333333334</v>
      </c>
      <c r="S221" s="492">
        <v>3051</v>
      </c>
      <c r="T221" s="491">
        <v>3463</v>
      </c>
      <c r="U221" s="256">
        <f t="shared" si="112"/>
        <v>104823</v>
      </c>
      <c r="V221" s="434">
        <f t="shared" si="113"/>
        <v>115018</v>
      </c>
      <c r="W221" s="78"/>
      <c r="X221" s="675"/>
      <c r="Y221" s="78"/>
      <c r="Z221" s="675"/>
      <c r="AA221" s="78"/>
      <c r="AB221" s="675"/>
      <c r="AC221" s="78"/>
      <c r="AD221" s="675"/>
      <c r="AE221" s="256">
        <f t="shared" si="102"/>
        <v>0</v>
      </c>
      <c r="AF221" s="89">
        <f t="shared" si="103"/>
        <v>0</v>
      </c>
      <c r="AG221" s="257">
        <f t="shared" si="104"/>
        <v>0</v>
      </c>
      <c r="AH221" s="79">
        <f t="shared" si="105"/>
        <v>0</v>
      </c>
      <c r="AI221" s="78"/>
      <c r="AJ221" s="675"/>
      <c r="AK221" s="256">
        <f t="shared" si="106"/>
        <v>0</v>
      </c>
      <c r="AL221" s="434">
        <f t="shared" si="107"/>
        <v>0</v>
      </c>
      <c r="AM221" s="78"/>
      <c r="AN221" s="675"/>
      <c r="AO221" s="78"/>
      <c r="AP221" s="675"/>
      <c r="AQ221" s="78"/>
      <c r="AR221" s="675"/>
      <c r="AS221" s="78"/>
      <c r="AT221" s="675"/>
      <c r="AU221" s="258">
        <f t="shared" si="96"/>
        <v>0</v>
      </c>
      <c r="AV221" s="89">
        <f t="shared" si="115"/>
        <v>0</v>
      </c>
      <c r="AW221" s="257">
        <f t="shared" si="98"/>
        <v>0</v>
      </c>
      <c r="AX221" s="79">
        <f t="shared" si="99"/>
        <v>0</v>
      </c>
      <c r="AY221" s="259">
        <f t="shared" si="100"/>
        <v>3494.1</v>
      </c>
      <c r="AZ221" s="79">
        <f t="shared" si="101"/>
        <v>3833.9333333333334</v>
      </c>
      <c r="BA221" s="677"/>
    </row>
    <row r="222" spans="1:53" s="93" customFormat="1">
      <c r="A222" s="500" t="s">
        <v>795</v>
      </c>
      <c r="B222" s="504" t="s">
        <v>812</v>
      </c>
      <c r="C222" s="287">
        <v>159407</v>
      </c>
      <c r="D222" s="270">
        <v>9</v>
      </c>
      <c r="E222" s="148" t="s">
        <v>393</v>
      </c>
      <c r="F222" s="488" t="s">
        <v>393</v>
      </c>
      <c r="G222" s="78"/>
      <c r="H222" s="675"/>
      <c r="I222" s="78">
        <v>26706</v>
      </c>
      <c r="J222" s="489">
        <v>28323</v>
      </c>
      <c r="K222" s="78">
        <v>4433</v>
      </c>
      <c r="L222" s="490">
        <v>4453</v>
      </c>
      <c r="M222" s="78">
        <v>29855</v>
      </c>
      <c r="N222" s="491">
        <v>31995</v>
      </c>
      <c r="O222" s="256">
        <f t="shared" si="108"/>
        <v>60994</v>
      </c>
      <c r="P222" s="89">
        <f t="shared" si="114"/>
        <v>2033.1333333333334</v>
      </c>
      <c r="Q222" s="257">
        <f t="shared" si="110"/>
        <v>64771</v>
      </c>
      <c r="R222" s="79">
        <f t="shared" si="111"/>
        <v>2159.0333333333333</v>
      </c>
      <c r="S222" s="492">
        <v>2274</v>
      </c>
      <c r="T222" s="491">
        <v>3376</v>
      </c>
      <c r="U222" s="256">
        <f t="shared" si="112"/>
        <v>60994</v>
      </c>
      <c r="V222" s="434">
        <f t="shared" si="113"/>
        <v>64771</v>
      </c>
      <c r="W222" s="78"/>
      <c r="X222" s="675"/>
      <c r="Y222" s="78"/>
      <c r="Z222" s="675"/>
      <c r="AA222" s="78"/>
      <c r="AB222" s="675"/>
      <c r="AC222" s="78"/>
      <c r="AD222" s="675"/>
      <c r="AE222" s="256">
        <f t="shared" si="102"/>
        <v>0</v>
      </c>
      <c r="AF222" s="89">
        <f t="shared" si="103"/>
        <v>0</v>
      </c>
      <c r="AG222" s="257">
        <f t="shared" si="104"/>
        <v>0</v>
      </c>
      <c r="AH222" s="79">
        <f t="shared" si="105"/>
        <v>0</v>
      </c>
      <c r="AI222" s="78"/>
      <c r="AJ222" s="675"/>
      <c r="AK222" s="256">
        <f t="shared" si="106"/>
        <v>0</v>
      </c>
      <c r="AL222" s="434">
        <f t="shared" si="107"/>
        <v>0</v>
      </c>
      <c r="AM222" s="78"/>
      <c r="AN222" s="675"/>
      <c r="AO222" s="78"/>
      <c r="AP222" s="675"/>
      <c r="AQ222" s="78"/>
      <c r="AR222" s="675"/>
      <c r="AS222" s="78"/>
      <c r="AT222" s="675"/>
      <c r="AU222" s="258">
        <f t="shared" si="96"/>
        <v>0</v>
      </c>
      <c r="AV222" s="89">
        <f t="shared" si="115"/>
        <v>0</v>
      </c>
      <c r="AW222" s="257">
        <f t="shared" si="98"/>
        <v>0</v>
      </c>
      <c r="AX222" s="79">
        <f t="shared" si="99"/>
        <v>0</v>
      </c>
      <c r="AY222" s="259">
        <f t="shared" si="100"/>
        <v>2033.1333333333334</v>
      </c>
      <c r="AZ222" s="79">
        <f t="shared" si="101"/>
        <v>2159.0333333333333</v>
      </c>
      <c r="BA222" s="677"/>
    </row>
    <row r="223" spans="1:53" s="93" customFormat="1">
      <c r="A223" s="500" t="s">
        <v>795</v>
      </c>
      <c r="B223" s="288" t="s">
        <v>813</v>
      </c>
      <c r="C223" s="287">
        <v>440624</v>
      </c>
      <c r="D223" s="270">
        <v>10</v>
      </c>
      <c r="E223" s="148" t="s">
        <v>393</v>
      </c>
      <c r="F223" s="488" t="s">
        <v>393</v>
      </c>
      <c r="G223" s="78"/>
      <c r="H223" s="675"/>
      <c r="I223" s="78">
        <v>11696</v>
      </c>
      <c r="J223" s="489">
        <v>14745</v>
      </c>
      <c r="K223" s="78">
        <v>2995</v>
      </c>
      <c r="L223" s="490">
        <v>2861</v>
      </c>
      <c r="M223" s="78">
        <v>15431</v>
      </c>
      <c r="N223" s="491">
        <v>16800</v>
      </c>
      <c r="O223" s="256">
        <f t="shared" si="108"/>
        <v>30122</v>
      </c>
      <c r="P223" s="89">
        <f t="shared" si="114"/>
        <v>1004.0666666666667</v>
      </c>
      <c r="Q223" s="257">
        <f t="shared" si="110"/>
        <v>34406</v>
      </c>
      <c r="R223" s="79">
        <f t="shared" si="111"/>
        <v>1146.8666666666666</v>
      </c>
      <c r="S223" s="492">
        <v>2707</v>
      </c>
      <c r="T223" s="491">
        <v>1757</v>
      </c>
      <c r="U223" s="256">
        <f t="shared" si="112"/>
        <v>30122</v>
      </c>
      <c r="V223" s="434">
        <f t="shared" si="113"/>
        <v>34406</v>
      </c>
      <c r="W223" s="78"/>
      <c r="X223" s="675"/>
      <c r="Y223" s="78"/>
      <c r="Z223" s="675"/>
      <c r="AA223" s="78"/>
      <c r="AB223" s="675"/>
      <c r="AC223" s="78"/>
      <c r="AD223" s="675"/>
      <c r="AE223" s="256">
        <f t="shared" si="102"/>
        <v>0</v>
      </c>
      <c r="AF223" s="89">
        <f t="shared" si="103"/>
        <v>0</v>
      </c>
      <c r="AG223" s="257">
        <f t="shared" si="104"/>
        <v>0</v>
      </c>
      <c r="AH223" s="79">
        <f t="shared" si="105"/>
        <v>0</v>
      </c>
      <c r="AI223" s="78"/>
      <c r="AJ223" s="675"/>
      <c r="AK223" s="256">
        <f t="shared" si="106"/>
        <v>0</v>
      </c>
      <c r="AL223" s="434">
        <f t="shared" si="107"/>
        <v>0</v>
      </c>
      <c r="AM223" s="78"/>
      <c r="AN223" s="675"/>
      <c r="AO223" s="78"/>
      <c r="AP223" s="675"/>
      <c r="AQ223" s="78"/>
      <c r="AR223" s="675"/>
      <c r="AS223" s="78"/>
      <c r="AT223" s="675"/>
      <c r="AU223" s="258">
        <f t="shared" si="96"/>
        <v>0</v>
      </c>
      <c r="AV223" s="89">
        <f t="shared" si="115"/>
        <v>0</v>
      </c>
      <c r="AW223" s="257">
        <f t="shared" si="98"/>
        <v>0</v>
      </c>
      <c r="AX223" s="79">
        <f t="shared" si="99"/>
        <v>0</v>
      </c>
      <c r="AY223" s="259">
        <f t="shared" si="100"/>
        <v>1004.0666666666667</v>
      </c>
      <c r="AZ223" s="79">
        <f t="shared" si="101"/>
        <v>1146.8666666666666</v>
      </c>
      <c r="BA223" s="677"/>
    </row>
    <row r="224" spans="1:53" s="93" customFormat="1">
      <c r="A224" s="500" t="s">
        <v>795</v>
      </c>
      <c r="B224" s="288" t="s">
        <v>814</v>
      </c>
      <c r="C224" s="287">
        <v>158884</v>
      </c>
      <c r="D224" s="270">
        <v>10</v>
      </c>
      <c r="E224" s="148" t="s">
        <v>393</v>
      </c>
      <c r="F224" s="488" t="s">
        <v>393</v>
      </c>
      <c r="G224" s="78"/>
      <c r="H224" s="675"/>
      <c r="I224" s="78">
        <v>11991</v>
      </c>
      <c r="J224" s="489">
        <v>14253</v>
      </c>
      <c r="K224" s="78">
        <v>3204</v>
      </c>
      <c r="L224" s="490">
        <v>3315.6</v>
      </c>
      <c r="M224" s="78">
        <v>14004</v>
      </c>
      <c r="N224" s="491">
        <v>15550</v>
      </c>
      <c r="O224" s="256">
        <f t="shared" si="108"/>
        <v>29199</v>
      </c>
      <c r="P224" s="89">
        <f t="shared" si="114"/>
        <v>973.3</v>
      </c>
      <c r="Q224" s="257">
        <f t="shared" si="110"/>
        <v>33118.6</v>
      </c>
      <c r="R224" s="79">
        <f t="shared" si="111"/>
        <v>1103.9533333333334</v>
      </c>
      <c r="S224" s="492">
        <v>3143</v>
      </c>
      <c r="T224" s="491">
        <v>4153</v>
      </c>
      <c r="U224" s="256">
        <f t="shared" si="112"/>
        <v>29199</v>
      </c>
      <c r="V224" s="434">
        <f t="shared" si="113"/>
        <v>33118.6</v>
      </c>
      <c r="W224" s="78"/>
      <c r="X224" s="675"/>
      <c r="Y224" s="78"/>
      <c r="Z224" s="675"/>
      <c r="AA224" s="78"/>
      <c r="AB224" s="675"/>
      <c r="AC224" s="78"/>
      <c r="AD224" s="675"/>
      <c r="AE224" s="256">
        <f t="shared" si="102"/>
        <v>0</v>
      </c>
      <c r="AF224" s="89">
        <f t="shared" si="103"/>
        <v>0</v>
      </c>
      <c r="AG224" s="257">
        <f t="shared" si="104"/>
        <v>0</v>
      </c>
      <c r="AH224" s="79">
        <f t="shared" si="105"/>
        <v>0</v>
      </c>
      <c r="AI224" s="78"/>
      <c r="AJ224" s="675"/>
      <c r="AK224" s="256">
        <f t="shared" si="106"/>
        <v>0</v>
      </c>
      <c r="AL224" s="434">
        <f t="shared" si="107"/>
        <v>0</v>
      </c>
      <c r="AM224" s="78"/>
      <c r="AN224" s="675"/>
      <c r="AO224" s="78"/>
      <c r="AP224" s="675"/>
      <c r="AQ224" s="78"/>
      <c r="AR224" s="675"/>
      <c r="AS224" s="78"/>
      <c r="AT224" s="675"/>
      <c r="AU224" s="258">
        <f t="shared" si="96"/>
        <v>0</v>
      </c>
      <c r="AV224" s="89">
        <f t="shared" si="115"/>
        <v>0</v>
      </c>
      <c r="AW224" s="257">
        <f t="shared" si="98"/>
        <v>0</v>
      </c>
      <c r="AX224" s="79">
        <f t="shared" si="99"/>
        <v>0</v>
      </c>
      <c r="AY224" s="259">
        <f t="shared" si="100"/>
        <v>973.3</v>
      </c>
      <c r="AZ224" s="79">
        <f t="shared" si="101"/>
        <v>1103.9533333333334</v>
      </c>
      <c r="BA224" s="677"/>
    </row>
    <row r="225" spans="1:53" s="93" customFormat="1">
      <c r="A225" s="500" t="s">
        <v>795</v>
      </c>
      <c r="B225" s="288" t="s">
        <v>815</v>
      </c>
      <c r="C225" s="287">
        <v>436304</v>
      </c>
      <c r="D225" s="270">
        <v>10</v>
      </c>
      <c r="E225" s="148" t="s">
        <v>393</v>
      </c>
      <c r="F225" s="488" t="s">
        <v>393</v>
      </c>
      <c r="G225" s="78"/>
      <c r="H225" s="675"/>
      <c r="I225" s="78">
        <v>8835</v>
      </c>
      <c r="J225" s="489">
        <v>10656</v>
      </c>
      <c r="K225" s="78">
        <v>1698</v>
      </c>
      <c r="L225" s="490">
        <v>2850</v>
      </c>
      <c r="M225" s="78">
        <v>11227</v>
      </c>
      <c r="N225" s="491">
        <v>14463</v>
      </c>
      <c r="O225" s="256">
        <f t="shared" si="108"/>
        <v>21760</v>
      </c>
      <c r="P225" s="89">
        <f t="shared" si="114"/>
        <v>725.33333333333337</v>
      </c>
      <c r="Q225" s="257">
        <f t="shared" si="110"/>
        <v>27969</v>
      </c>
      <c r="R225" s="79">
        <f t="shared" si="111"/>
        <v>932.3</v>
      </c>
      <c r="S225" s="492">
        <v>1303</v>
      </c>
      <c r="T225" s="491">
        <v>1505</v>
      </c>
      <c r="U225" s="256">
        <f t="shared" si="112"/>
        <v>21760</v>
      </c>
      <c r="V225" s="434">
        <f t="shared" si="113"/>
        <v>27969</v>
      </c>
      <c r="W225" s="78"/>
      <c r="X225" s="675"/>
      <c r="Y225" s="78"/>
      <c r="Z225" s="675"/>
      <c r="AA225" s="78"/>
      <c r="AB225" s="675"/>
      <c r="AC225" s="78"/>
      <c r="AD225" s="675"/>
      <c r="AE225" s="256">
        <f t="shared" si="102"/>
        <v>0</v>
      </c>
      <c r="AF225" s="89">
        <f t="shared" si="103"/>
        <v>0</v>
      </c>
      <c r="AG225" s="257">
        <f t="shared" si="104"/>
        <v>0</v>
      </c>
      <c r="AH225" s="79">
        <f t="shared" si="105"/>
        <v>0</v>
      </c>
      <c r="AI225" s="78"/>
      <c r="AJ225" s="675"/>
      <c r="AK225" s="256">
        <f t="shared" si="106"/>
        <v>0</v>
      </c>
      <c r="AL225" s="434">
        <f t="shared" si="107"/>
        <v>0</v>
      </c>
      <c r="AM225" s="78"/>
      <c r="AN225" s="675"/>
      <c r="AO225" s="78"/>
      <c r="AP225" s="675"/>
      <c r="AQ225" s="78"/>
      <c r="AR225" s="675"/>
      <c r="AS225" s="78"/>
      <c r="AT225" s="675"/>
      <c r="AU225" s="258">
        <f t="shared" si="96"/>
        <v>0</v>
      </c>
      <c r="AV225" s="89">
        <f t="shared" si="115"/>
        <v>0</v>
      </c>
      <c r="AW225" s="257">
        <f t="shared" si="98"/>
        <v>0</v>
      </c>
      <c r="AX225" s="79">
        <f t="shared" si="99"/>
        <v>0</v>
      </c>
      <c r="AY225" s="259">
        <f t="shared" si="100"/>
        <v>725.33333333333337</v>
      </c>
      <c r="AZ225" s="79">
        <f t="shared" si="101"/>
        <v>932.3</v>
      </c>
      <c r="BA225" s="677"/>
    </row>
    <row r="226" spans="1:53" s="93" customFormat="1">
      <c r="A226" s="500" t="s">
        <v>795</v>
      </c>
      <c r="B226" s="159" t="s">
        <v>816</v>
      </c>
      <c r="C226" s="287">
        <v>434061</v>
      </c>
      <c r="D226" s="270">
        <v>10</v>
      </c>
      <c r="E226" s="148" t="s">
        <v>393</v>
      </c>
      <c r="F226" s="488" t="s">
        <v>393</v>
      </c>
      <c r="G226" s="78"/>
      <c r="H226" s="675"/>
      <c r="I226" s="78">
        <v>26543</v>
      </c>
      <c r="J226" s="489">
        <v>28762</v>
      </c>
      <c r="K226" s="78">
        <v>6601</v>
      </c>
      <c r="L226" s="490">
        <v>7485</v>
      </c>
      <c r="M226" s="78">
        <v>29724</v>
      </c>
      <c r="N226" s="491">
        <v>34649</v>
      </c>
      <c r="O226" s="256">
        <f t="shared" si="108"/>
        <v>62868</v>
      </c>
      <c r="P226" s="89">
        <f t="shared" si="114"/>
        <v>2095.6</v>
      </c>
      <c r="Q226" s="257">
        <f t="shared" si="110"/>
        <v>70896</v>
      </c>
      <c r="R226" s="79">
        <f t="shared" si="111"/>
        <v>2363.1999999999998</v>
      </c>
      <c r="S226" s="492">
        <v>4222</v>
      </c>
      <c r="T226" s="491">
        <v>4761</v>
      </c>
      <c r="U226" s="256">
        <f t="shared" si="112"/>
        <v>62868</v>
      </c>
      <c r="V226" s="434">
        <f t="shared" si="113"/>
        <v>70896</v>
      </c>
      <c r="W226" s="78"/>
      <c r="X226" s="675"/>
      <c r="Y226" s="78"/>
      <c r="Z226" s="675"/>
      <c r="AA226" s="78"/>
      <c r="AB226" s="675"/>
      <c r="AC226" s="78"/>
      <c r="AD226" s="675"/>
      <c r="AE226" s="256">
        <f t="shared" si="102"/>
        <v>0</v>
      </c>
      <c r="AF226" s="89">
        <f t="shared" si="103"/>
        <v>0</v>
      </c>
      <c r="AG226" s="257">
        <f t="shared" si="104"/>
        <v>0</v>
      </c>
      <c r="AH226" s="79">
        <f t="shared" si="105"/>
        <v>0</v>
      </c>
      <c r="AI226" s="78"/>
      <c r="AJ226" s="675"/>
      <c r="AK226" s="256">
        <f t="shared" si="106"/>
        <v>0</v>
      </c>
      <c r="AL226" s="434">
        <f t="shared" si="107"/>
        <v>0</v>
      </c>
      <c r="AM226" s="78"/>
      <c r="AN226" s="675"/>
      <c r="AO226" s="78"/>
      <c r="AP226" s="675"/>
      <c r="AQ226" s="78"/>
      <c r="AR226" s="675"/>
      <c r="AS226" s="78"/>
      <c r="AT226" s="675"/>
      <c r="AU226" s="258">
        <f t="shared" si="96"/>
        <v>0</v>
      </c>
      <c r="AV226" s="89">
        <f t="shared" si="115"/>
        <v>0</v>
      </c>
      <c r="AW226" s="257">
        <f t="shared" si="98"/>
        <v>0</v>
      </c>
      <c r="AX226" s="79">
        <f t="shared" si="99"/>
        <v>0</v>
      </c>
      <c r="AY226" s="259">
        <f t="shared" si="100"/>
        <v>2095.6</v>
      </c>
      <c r="AZ226" s="79">
        <f t="shared" si="101"/>
        <v>2363.1999999999998</v>
      </c>
      <c r="BA226" s="677"/>
    </row>
    <row r="227" spans="1:53" s="93" customFormat="1">
      <c r="A227" s="505" t="s">
        <v>795</v>
      </c>
      <c r="B227" s="504" t="s">
        <v>817</v>
      </c>
      <c r="C227" s="506">
        <v>160649</v>
      </c>
      <c r="D227" s="163">
        <v>10</v>
      </c>
      <c r="E227" s="148" t="s">
        <v>393</v>
      </c>
      <c r="F227" s="488" t="s">
        <v>393</v>
      </c>
      <c r="G227" s="78"/>
      <c r="H227" s="675"/>
      <c r="I227" s="78">
        <v>23871</v>
      </c>
      <c r="J227" s="489">
        <v>26266</v>
      </c>
      <c r="K227" s="78">
        <v>7417</v>
      </c>
      <c r="L227" s="490">
        <v>7490</v>
      </c>
      <c r="M227" s="78">
        <v>25175</v>
      </c>
      <c r="N227" s="491">
        <v>32663</v>
      </c>
      <c r="O227" s="256">
        <f t="shared" si="108"/>
        <v>56463</v>
      </c>
      <c r="P227" s="89">
        <f t="shared" si="114"/>
        <v>1882.1</v>
      </c>
      <c r="Q227" s="257">
        <f t="shared" si="110"/>
        <v>66419</v>
      </c>
      <c r="R227" s="79">
        <f t="shared" si="111"/>
        <v>2213.9666666666667</v>
      </c>
      <c r="S227" s="492">
        <v>2625</v>
      </c>
      <c r="T227" s="491">
        <v>2321</v>
      </c>
      <c r="U227" s="256">
        <f t="shared" si="112"/>
        <v>56463</v>
      </c>
      <c r="V227" s="434">
        <f t="shared" si="113"/>
        <v>66419</v>
      </c>
      <c r="W227" s="78"/>
      <c r="X227" s="675"/>
      <c r="Y227" s="78"/>
      <c r="Z227" s="675"/>
      <c r="AA227" s="78"/>
      <c r="AB227" s="675"/>
      <c r="AC227" s="78"/>
      <c r="AD227" s="675"/>
      <c r="AE227" s="256">
        <f t="shared" si="102"/>
        <v>0</v>
      </c>
      <c r="AF227" s="89">
        <f t="shared" si="103"/>
        <v>0</v>
      </c>
      <c r="AG227" s="257">
        <f t="shared" si="104"/>
        <v>0</v>
      </c>
      <c r="AH227" s="79">
        <f t="shared" si="105"/>
        <v>0</v>
      </c>
      <c r="AI227" s="78"/>
      <c r="AJ227" s="675"/>
      <c r="AK227" s="256">
        <f t="shared" si="106"/>
        <v>0</v>
      </c>
      <c r="AL227" s="434">
        <f t="shared" si="107"/>
        <v>0</v>
      </c>
      <c r="AM227" s="78"/>
      <c r="AN227" s="675"/>
      <c r="AO227" s="78"/>
      <c r="AP227" s="675"/>
      <c r="AQ227" s="78"/>
      <c r="AR227" s="675"/>
      <c r="AS227" s="78"/>
      <c r="AT227" s="675"/>
      <c r="AU227" s="258">
        <f t="shared" si="96"/>
        <v>0</v>
      </c>
      <c r="AV227" s="89">
        <f t="shared" si="115"/>
        <v>0</v>
      </c>
      <c r="AW227" s="257">
        <f t="shared" si="98"/>
        <v>0</v>
      </c>
      <c r="AX227" s="79">
        <f t="shared" si="99"/>
        <v>0</v>
      </c>
      <c r="AY227" s="259">
        <f t="shared" si="100"/>
        <v>1882.1</v>
      </c>
      <c r="AZ227" s="79">
        <f t="shared" si="101"/>
        <v>2213.9666666666667</v>
      </c>
      <c r="BA227" s="677"/>
    </row>
    <row r="228" spans="1:53" s="93" customFormat="1">
      <c r="A228" s="500" t="s">
        <v>795</v>
      </c>
      <c r="B228" s="288" t="s">
        <v>818</v>
      </c>
      <c r="C228" s="287">
        <v>160579</v>
      </c>
      <c r="D228" s="270">
        <v>12</v>
      </c>
      <c r="E228" s="148" t="s">
        <v>393</v>
      </c>
      <c r="F228" s="488" t="s">
        <v>393</v>
      </c>
      <c r="G228" s="78"/>
      <c r="H228" s="675"/>
      <c r="I228" s="78">
        <v>17967</v>
      </c>
      <c r="J228" s="489">
        <v>21728</v>
      </c>
      <c r="K228" s="78">
        <v>5384</v>
      </c>
      <c r="L228" s="490">
        <v>5782</v>
      </c>
      <c r="M228" s="78">
        <v>20402</v>
      </c>
      <c r="N228" s="491">
        <v>25268</v>
      </c>
      <c r="O228" s="256">
        <f t="shared" si="108"/>
        <v>43753</v>
      </c>
      <c r="P228" s="89">
        <f t="shared" si="114"/>
        <v>1458.4333333333334</v>
      </c>
      <c r="Q228" s="257">
        <f t="shared" si="110"/>
        <v>52778</v>
      </c>
      <c r="R228" s="79">
        <f t="shared" si="111"/>
        <v>1759.2666666666667</v>
      </c>
      <c r="S228" s="492">
        <v>931</v>
      </c>
      <c r="T228" s="491">
        <v>861</v>
      </c>
      <c r="U228" s="256">
        <f t="shared" si="112"/>
        <v>43753</v>
      </c>
      <c r="V228" s="434">
        <f t="shared" si="113"/>
        <v>52778</v>
      </c>
      <c r="W228" s="78"/>
      <c r="X228" s="675"/>
      <c r="Y228" s="78"/>
      <c r="Z228" s="675"/>
      <c r="AA228" s="78"/>
      <c r="AB228" s="675"/>
      <c r="AC228" s="78"/>
      <c r="AD228" s="675"/>
      <c r="AE228" s="256">
        <f t="shared" si="102"/>
        <v>0</v>
      </c>
      <c r="AF228" s="89">
        <f t="shared" si="103"/>
        <v>0</v>
      </c>
      <c r="AG228" s="257">
        <f t="shared" si="104"/>
        <v>0</v>
      </c>
      <c r="AH228" s="79">
        <f t="shared" si="105"/>
        <v>0</v>
      </c>
      <c r="AI228" s="78"/>
      <c r="AJ228" s="675"/>
      <c r="AK228" s="256">
        <f t="shared" si="106"/>
        <v>0</v>
      </c>
      <c r="AL228" s="434">
        <f t="shared" si="107"/>
        <v>0</v>
      </c>
      <c r="AM228" s="78"/>
      <c r="AN228" s="675"/>
      <c r="AO228" s="78"/>
      <c r="AP228" s="675"/>
      <c r="AQ228" s="78"/>
      <c r="AR228" s="675"/>
      <c r="AS228" s="78"/>
      <c r="AT228" s="675"/>
      <c r="AU228" s="258">
        <f t="shared" si="96"/>
        <v>0</v>
      </c>
      <c r="AV228" s="89">
        <f t="shared" si="115"/>
        <v>0</v>
      </c>
      <c r="AW228" s="257">
        <f t="shared" si="98"/>
        <v>0</v>
      </c>
      <c r="AX228" s="79">
        <f t="shared" si="99"/>
        <v>0</v>
      </c>
      <c r="AY228" s="259">
        <f t="shared" si="100"/>
        <v>1458.4333333333334</v>
      </c>
      <c r="AZ228" s="79">
        <f t="shared" si="101"/>
        <v>1759.2666666666667</v>
      </c>
      <c r="BA228" s="677"/>
    </row>
    <row r="229" spans="1:53" s="93" customFormat="1">
      <c r="A229" s="500" t="s">
        <v>795</v>
      </c>
      <c r="B229" s="288" t="s">
        <v>819</v>
      </c>
      <c r="C229" s="287">
        <v>160481</v>
      </c>
      <c r="D229" s="270">
        <v>13</v>
      </c>
      <c r="E229" s="148" t="s">
        <v>393</v>
      </c>
      <c r="F229" s="488" t="s">
        <v>393</v>
      </c>
      <c r="G229" s="78"/>
      <c r="H229" s="675"/>
      <c r="I229" s="78">
        <v>10852</v>
      </c>
      <c r="J229" s="489">
        <v>12352</v>
      </c>
      <c r="K229" s="78">
        <v>2984.5</v>
      </c>
      <c r="L229" s="490">
        <v>2953</v>
      </c>
      <c r="M229" s="78">
        <v>13800</v>
      </c>
      <c r="N229" s="491">
        <v>17031</v>
      </c>
      <c r="O229" s="256">
        <f t="shared" si="108"/>
        <v>27636.5</v>
      </c>
      <c r="P229" s="89">
        <f t="shared" si="114"/>
        <v>921.2166666666667</v>
      </c>
      <c r="Q229" s="257">
        <f t="shared" si="110"/>
        <v>32336</v>
      </c>
      <c r="R229" s="79">
        <f t="shared" si="111"/>
        <v>1077.8666666666666</v>
      </c>
      <c r="S229" s="492">
        <v>977</v>
      </c>
      <c r="T229" s="491">
        <v>923</v>
      </c>
      <c r="U229" s="256">
        <f t="shared" si="112"/>
        <v>27636.5</v>
      </c>
      <c r="V229" s="434">
        <f t="shared" si="113"/>
        <v>32336</v>
      </c>
      <c r="W229" s="78"/>
      <c r="X229" s="675"/>
      <c r="Y229" s="78">
        <v>5836</v>
      </c>
      <c r="Z229" s="675">
        <v>15887</v>
      </c>
      <c r="AA229" s="78">
        <v>4371</v>
      </c>
      <c r="AB229" s="507">
        <v>3701</v>
      </c>
      <c r="AC229" s="78">
        <v>11481</v>
      </c>
      <c r="AD229" s="508">
        <v>15878</v>
      </c>
      <c r="AE229" s="256">
        <f t="shared" si="102"/>
        <v>21688</v>
      </c>
      <c r="AF229" s="89">
        <f t="shared" si="103"/>
        <v>24.097777777777779</v>
      </c>
      <c r="AG229" s="257">
        <f t="shared" si="104"/>
        <v>35466</v>
      </c>
      <c r="AH229" s="79">
        <f t="shared" si="105"/>
        <v>39.406666666666666</v>
      </c>
      <c r="AI229" s="78"/>
      <c r="AJ229" s="675"/>
      <c r="AK229" s="256">
        <f t="shared" si="106"/>
        <v>0</v>
      </c>
      <c r="AL229" s="434">
        <f t="shared" si="107"/>
        <v>0</v>
      </c>
      <c r="AM229" s="78"/>
      <c r="AN229" s="675"/>
      <c r="AO229" s="78"/>
      <c r="AP229" s="675"/>
      <c r="AQ229" s="78"/>
      <c r="AR229" s="675"/>
      <c r="AS229" s="78"/>
      <c r="AT229" s="675"/>
      <c r="AU229" s="258">
        <f t="shared" si="96"/>
        <v>0</v>
      </c>
      <c r="AV229" s="89">
        <f t="shared" si="115"/>
        <v>0</v>
      </c>
      <c r="AW229" s="257">
        <f t="shared" si="98"/>
        <v>0</v>
      </c>
      <c r="AX229" s="79">
        <f t="shared" si="99"/>
        <v>0</v>
      </c>
      <c r="AY229" s="259">
        <f t="shared" si="100"/>
        <v>945.31444444444446</v>
      </c>
      <c r="AZ229" s="79">
        <f t="shared" si="101"/>
        <v>1117.2733333333333</v>
      </c>
      <c r="BA229" s="677"/>
    </row>
    <row r="230" spans="1:53" s="93" customFormat="1">
      <c r="A230" s="287" t="s">
        <v>795</v>
      </c>
      <c r="B230" s="288" t="s">
        <v>0</v>
      </c>
      <c r="C230" s="287">
        <v>160560</v>
      </c>
      <c r="D230" s="162">
        <v>14</v>
      </c>
      <c r="E230" s="148" t="s">
        <v>393</v>
      </c>
      <c r="F230" s="488" t="s">
        <v>393</v>
      </c>
      <c r="G230" s="78"/>
      <c r="H230" s="675"/>
      <c r="I230" s="78"/>
      <c r="J230" s="509"/>
      <c r="K230" s="78"/>
      <c r="L230" s="510"/>
      <c r="M230" s="78"/>
      <c r="N230" s="511"/>
      <c r="O230" s="256">
        <f t="shared" si="108"/>
        <v>0</v>
      </c>
      <c r="P230" s="89">
        <f t="shared" si="114"/>
        <v>0</v>
      </c>
      <c r="Q230" s="257">
        <f t="shared" si="110"/>
        <v>0</v>
      </c>
      <c r="R230" s="79">
        <f t="shared" si="111"/>
        <v>0</v>
      </c>
      <c r="S230" s="78"/>
      <c r="T230" s="511"/>
      <c r="U230" s="256">
        <f t="shared" si="112"/>
        <v>0</v>
      </c>
      <c r="V230" s="434">
        <f t="shared" si="113"/>
        <v>0</v>
      </c>
      <c r="W230" s="78"/>
      <c r="X230" s="675"/>
      <c r="Y230" s="78"/>
      <c r="Z230" s="691"/>
      <c r="AA230" s="78"/>
      <c r="AB230" s="692"/>
      <c r="AC230" s="78"/>
      <c r="AD230" s="693"/>
      <c r="AE230" s="256">
        <f t="shared" si="102"/>
        <v>0</v>
      </c>
      <c r="AF230" s="89">
        <f t="shared" si="103"/>
        <v>0</v>
      </c>
      <c r="AG230" s="257">
        <f t="shared" si="104"/>
        <v>0</v>
      </c>
      <c r="AH230" s="79">
        <f t="shared" si="105"/>
        <v>0</v>
      </c>
      <c r="AI230" s="78"/>
      <c r="AJ230" s="675"/>
      <c r="AK230" s="256">
        <f t="shared" si="106"/>
        <v>0</v>
      </c>
      <c r="AL230" s="434">
        <f t="shared" si="107"/>
        <v>0</v>
      </c>
      <c r="AM230" s="78"/>
      <c r="AN230" s="675"/>
      <c r="AO230" s="78"/>
      <c r="AP230" s="675"/>
      <c r="AQ230" s="78"/>
      <c r="AR230" s="675"/>
      <c r="AS230" s="78"/>
      <c r="AT230" s="675"/>
      <c r="AU230" s="258">
        <f t="shared" si="96"/>
        <v>0</v>
      </c>
      <c r="AV230" s="89">
        <f t="shared" si="115"/>
        <v>0</v>
      </c>
      <c r="AW230" s="257">
        <f t="shared" si="98"/>
        <v>0</v>
      </c>
      <c r="AX230" s="79">
        <f t="shared" si="99"/>
        <v>0</v>
      </c>
      <c r="AY230" s="259">
        <f t="shared" si="100"/>
        <v>0</v>
      </c>
      <c r="AZ230" s="79">
        <f t="shared" si="101"/>
        <v>0</v>
      </c>
      <c r="BA230" s="677"/>
    </row>
    <row r="231" spans="1:53" s="93" customFormat="1">
      <c r="A231" s="500" t="s">
        <v>795</v>
      </c>
      <c r="B231" s="288" t="s">
        <v>845</v>
      </c>
      <c r="C231" s="287">
        <v>158088</v>
      </c>
      <c r="D231" s="162">
        <v>14</v>
      </c>
      <c r="E231" s="148" t="s">
        <v>393</v>
      </c>
      <c r="F231" s="488" t="s">
        <v>393</v>
      </c>
      <c r="G231" s="78"/>
      <c r="H231" s="675"/>
      <c r="I231" s="78"/>
      <c r="J231" s="509"/>
      <c r="K231" s="78"/>
      <c r="L231" s="510"/>
      <c r="M231" s="78"/>
      <c r="N231" s="511"/>
      <c r="O231" s="256">
        <f t="shared" si="108"/>
        <v>0</v>
      </c>
      <c r="P231" s="89">
        <f t="shared" si="114"/>
        <v>0</v>
      </c>
      <c r="Q231" s="257">
        <f t="shared" si="110"/>
        <v>0</v>
      </c>
      <c r="R231" s="79">
        <f t="shared" si="111"/>
        <v>0</v>
      </c>
      <c r="S231" s="78"/>
      <c r="T231" s="511"/>
      <c r="U231" s="256">
        <f t="shared" si="112"/>
        <v>0</v>
      </c>
      <c r="V231" s="434">
        <f t="shared" si="113"/>
        <v>0</v>
      </c>
      <c r="W231" s="78"/>
      <c r="X231" s="675"/>
      <c r="Y231" s="78"/>
      <c r="Z231" s="691"/>
      <c r="AA231" s="78"/>
      <c r="AB231" s="692"/>
      <c r="AC231" s="78"/>
      <c r="AD231" s="693"/>
      <c r="AE231" s="256">
        <f t="shared" si="102"/>
        <v>0</v>
      </c>
      <c r="AF231" s="89">
        <f t="shared" si="103"/>
        <v>0</v>
      </c>
      <c r="AG231" s="257">
        <f t="shared" si="104"/>
        <v>0</v>
      </c>
      <c r="AH231" s="79">
        <f t="shared" si="105"/>
        <v>0</v>
      </c>
      <c r="AI231" s="78"/>
      <c r="AJ231" s="675"/>
      <c r="AK231" s="256">
        <f t="shared" si="106"/>
        <v>0</v>
      </c>
      <c r="AL231" s="434">
        <f t="shared" si="107"/>
        <v>0</v>
      </c>
      <c r="AM231" s="78"/>
      <c r="AN231" s="675"/>
      <c r="AO231" s="78"/>
      <c r="AP231" s="675"/>
      <c r="AQ231" s="78"/>
      <c r="AR231" s="675"/>
      <c r="AS231" s="78"/>
      <c r="AT231" s="675"/>
      <c r="AU231" s="258">
        <f t="shared" si="96"/>
        <v>0</v>
      </c>
      <c r="AV231" s="89">
        <f t="shared" si="115"/>
        <v>0</v>
      </c>
      <c r="AW231" s="257">
        <f t="shared" si="98"/>
        <v>0</v>
      </c>
      <c r="AX231" s="79">
        <f t="shared" si="99"/>
        <v>0</v>
      </c>
      <c r="AY231" s="259">
        <f t="shared" si="100"/>
        <v>0</v>
      </c>
      <c r="AZ231" s="79">
        <f t="shared" si="101"/>
        <v>0</v>
      </c>
      <c r="BA231" s="677"/>
    </row>
    <row r="232" spans="1:53" s="93" customFormat="1">
      <c r="A232" s="512" t="s">
        <v>795</v>
      </c>
      <c r="B232" s="159" t="s">
        <v>47</v>
      </c>
      <c r="C232" s="171"/>
      <c r="D232" s="162">
        <v>14</v>
      </c>
      <c r="E232" s="148" t="s">
        <v>393</v>
      </c>
      <c r="F232" s="488" t="s">
        <v>393</v>
      </c>
      <c r="G232" s="78"/>
      <c r="H232" s="675"/>
      <c r="I232" s="78">
        <v>172619</v>
      </c>
      <c r="J232" s="489">
        <v>193010</v>
      </c>
      <c r="K232" s="78">
        <v>61249</v>
      </c>
      <c r="L232" s="490">
        <v>68929.5</v>
      </c>
      <c r="M232" s="78">
        <v>188692.5</v>
      </c>
      <c r="N232" s="491">
        <v>236729</v>
      </c>
      <c r="O232" s="256">
        <f t="shared" si="108"/>
        <v>422560.5</v>
      </c>
      <c r="P232" s="89">
        <f t="shared" si="114"/>
        <v>14085.35</v>
      </c>
      <c r="Q232" s="257">
        <f t="shared" si="110"/>
        <v>498668.5</v>
      </c>
      <c r="R232" s="79">
        <f t="shared" si="111"/>
        <v>16622.283333333333</v>
      </c>
      <c r="S232" s="492">
        <v>48788</v>
      </c>
      <c r="T232" s="491">
        <v>76133</v>
      </c>
      <c r="U232" s="256">
        <f t="shared" si="112"/>
        <v>422560.5</v>
      </c>
      <c r="V232" s="434">
        <f t="shared" si="113"/>
        <v>498668.5</v>
      </c>
      <c r="W232" s="78"/>
      <c r="X232" s="675"/>
      <c r="Y232" s="78">
        <v>36936.5</v>
      </c>
      <c r="Z232" s="513">
        <v>36936.5</v>
      </c>
      <c r="AA232" s="78">
        <v>20692</v>
      </c>
      <c r="AB232" s="507">
        <v>24993</v>
      </c>
      <c r="AC232" s="78">
        <v>30920</v>
      </c>
      <c r="AD232" s="508">
        <v>35430</v>
      </c>
      <c r="AE232" s="256">
        <f t="shared" si="102"/>
        <v>88548.5</v>
      </c>
      <c r="AF232" s="89">
        <f t="shared" si="103"/>
        <v>98.387222222222221</v>
      </c>
      <c r="AG232" s="257">
        <f t="shared" si="104"/>
        <v>97359.5</v>
      </c>
      <c r="AH232" s="79">
        <f t="shared" si="105"/>
        <v>108.17722222222223</v>
      </c>
      <c r="AI232" s="78"/>
      <c r="AJ232" s="675"/>
      <c r="AK232" s="256">
        <f t="shared" si="106"/>
        <v>0</v>
      </c>
      <c r="AL232" s="434">
        <f t="shared" si="107"/>
        <v>0</v>
      </c>
      <c r="AM232" s="78"/>
      <c r="AN232" s="675"/>
      <c r="AO232" s="78"/>
      <c r="AP232" s="675"/>
      <c r="AQ232" s="78"/>
      <c r="AR232" s="675"/>
      <c r="AS232" s="78"/>
      <c r="AT232" s="675"/>
      <c r="AU232" s="258">
        <f t="shared" si="96"/>
        <v>0</v>
      </c>
      <c r="AV232" s="89">
        <f t="shared" si="115"/>
        <v>0</v>
      </c>
      <c r="AW232" s="257">
        <f t="shared" si="98"/>
        <v>0</v>
      </c>
      <c r="AX232" s="79">
        <f t="shared" si="99"/>
        <v>0</v>
      </c>
      <c r="AY232" s="259">
        <f t="shared" si="100"/>
        <v>14183.737222222222</v>
      </c>
      <c r="AZ232" s="79">
        <f t="shared" si="101"/>
        <v>16730.460555555554</v>
      </c>
      <c r="BA232" s="677"/>
    </row>
    <row r="233" spans="1:53" s="93" customFormat="1">
      <c r="A233" s="500" t="s">
        <v>795</v>
      </c>
      <c r="B233" s="288" t="s">
        <v>1</v>
      </c>
      <c r="C233" s="287">
        <v>158219</v>
      </c>
      <c r="D233" s="162">
        <v>14</v>
      </c>
      <c r="E233" s="148" t="s">
        <v>393</v>
      </c>
      <c r="F233" s="488" t="s">
        <v>393</v>
      </c>
      <c r="G233" s="78"/>
      <c r="H233" s="675"/>
      <c r="I233" s="78"/>
      <c r="J233" s="675"/>
      <c r="K233" s="78"/>
      <c r="L233" s="675"/>
      <c r="M233" s="78"/>
      <c r="N233" s="675"/>
      <c r="O233" s="256">
        <f t="shared" si="108"/>
        <v>0</v>
      </c>
      <c r="P233" s="89">
        <f t="shared" si="114"/>
        <v>0</v>
      </c>
      <c r="Q233" s="257">
        <f t="shared" si="110"/>
        <v>0</v>
      </c>
      <c r="R233" s="79">
        <f t="shared" si="111"/>
        <v>0</v>
      </c>
      <c r="S233" s="78"/>
      <c r="T233" s="675"/>
      <c r="U233" s="256">
        <f t="shared" si="112"/>
        <v>0</v>
      </c>
      <c r="V233" s="434">
        <f t="shared" si="113"/>
        <v>0</v>
      </c>
      <c r="W233" s="78"/>
      <c r="X233" s="675"/>
      <c r="Y233" s="78"/>
      <c r="Z233" s="675"/>
      <c r="AA233" s="78"/>
      <c r="AB233" s="675"/>
      <c r="AC233" s="78"/>
      <c r="AD233" s="675"/>
      <c r="AE233" s="256">
        <f t="shared" si="102"/>
        <v>0</v>
      </c>
      <c r="AF233" s="89">
        <f t="shared" si="103"/>
        <v>0</v>
      </c>
      <c r="AG233" s="257">
        <f t="shared" si="104"/>
        <v>0</v>
      </c>
      <c r="AH233" s="79">
        <f t="shared" si="105"/>
        <v>0</v>
      </c>
      <c r="AI233" s="78"/>
      <c r="AJ233" s="675"/>
      <c r="AK233" s="256">
        <f t="shared" si="106"/>
        <v>0</v>
      </c>
      <c r="AL233" s="434">
        <f t="shared" si="107"/>
        <v>0</v>
      </c>
      <c r="AM233" s="78"/>
      <c r="AN233" s="675"/>
      <c r="AO233" s="78"/>
      <c r="AP233" s="675"/>
      <c r="AQ233" s="78"/>
      <c r="AR233" s="675"/>
      <c r="AS233" s="78"/>
      <c r="AT233" s="675"/>
      <c r="AU233" s="258">
        <f t="shared" si="96"/>
        <v>0</v>
      </c>
      <c r="AV233" s="89">
        <f t="shared" si="115"/>
        <v>0</v>
      </c>
      <c r="AW233" s="257">
        <f t="shared" si="98"/>
        <v>0</v>
      </c>
      <c r="AX233" s="79">
        <f t="shared" si="99"/>
        <v>0</v>
      </c>
      <c r="AY233" s="259">
        <f t="shared" si="100"/>
        <v>0</v>
      </c>
      <c r="AZ233" s="79">
        <f t="shared" si="101"/>
        <v>0</v>
      </c>
      <c r="BA233" s="677"/>
    </row>
    <row r="234" spans="1:53" s="93" customFormat="1">
      <c r="A234" s="500" t="s">
        <v>795</v>
      </c>
      <c r="B234" s="288" t="s">
        <v>2</v>
      </c>
      <c r="C234" s="287">
        <v>158237</v>
      </c>
      <c r="D234" s="162">
        <v>14</v>
      </c>
      <c r="E234" s="148" t="s">
        <v>393</v>
      </c>
      <c r="F234" s="488" t="s">
        <v>393</v>
      </c>
      <c r="G234" s="78"/>
      <c r="H234" s="675"/>
      <c r="I234" s="78"/>
      <c r="J234" s="675"/>
      <c r="K234" s="78"/>
      <c r="L234" s="675"/>
      <c r="M234" s="78"/>
      <c r="N234" s="675"/>
      <c r="O234" s="256">
        <f t="shared" si="108"/>
        <v>0</v>
      </c>
      <c r="P234" s="89">
        <f t="shared" si="114"/>
        <v>0</v>
      </c>
      <c r="Q234" s="257">
        <f t="shared" si="110"/>
        <v>0</v>
      </c>
      <c r="R234" s="79">
        <f t="shared" si="111"/>
        <v>0</v>
      </c>
      <c r="S234" s="78"/>
      <c r="T234" s="675"/>
      <c r="U234" s="256">
        <f t="shared" si="112"/>
        <v>0</v>
      </c>
      <c r="V234" s="434">
        <f t="shared" si="113"/>
        <v>0</v>
      </c>
      <c r="W234" s="78"/>
      <c r="X234" s="675"/>
      <c r="Y234" s="78"/>
      <c r="Z234" s="675"/>
      <c r="AA234" s="78"/>
      <c r="AB234" s="675"/>
      <c r="AC234" s="78"/>
      <c r="AD234" s="675"/>
      <c r="AE234" s="256">
        <f t="shared" si="102"/>
        <v>0</v>
      </c>
      <c r="AF234" s="89">
        <f t="shared" si="103"/>
        <v>0</v>
      </c>
      <c r="AG234" s="257">
        <f t="shared" si="104"/>
        <v>0</v>
      </c>
      <c r="AH234" s="79">
        <f t="shared" si="105"/>
        <v>0</v>
      </c>
      <c r="AI234" s="78"/>
      <c r="AJ234" s="675"/>
      <c r="AK234" s="256">
        <f t="shared" si="106"/>
        <v>0</v>
      </c>
      <c r="AL234" s="434">
        <f t="shared" si="107"/>
        <v>0</v>
      </c>
      <c r="AM234" s="78"/>
      <c r="AN234" s="675"/>
      <c r="AO234" s="78"/>
      <c r="AP234" s="675"/>
      <c r="AQ234" s="78"/>
      <c r="AR234" s="675"/>
      <c r="AS234" s="78"/>
      <c r="AT234" s="675"/>
      <c r="AU234" s="258">
        <f t="shared" si="96"/>
        <v>0</v>
      </c>
      <c r="AV234" s="89">
        <f t="shared" si="115"/>
        <v>0</v>
      </c>
      <c r="AW234" s="257">
        <f t="shared" si="98"/>
        <v>0</v>
      </c>
      <c r="AX234" s="79">
        <f t="shared" si="99"/>
        <v>0</v>
      </c>
      <c r="AY234" s="259">
        <f t="shared" si="100"/>
        <v>0</v>
      </c>
      <c r="AZ234" s="79">
        <f t="shared" si="101"/>
        <v>0</v>
      </c>
      <c r="BA234" s="677"/>
    </row>
    <row r="235" spans="1:53" s="93" customFormat="1">
      <c r="A235" s="500" t="s">
        <v>795</v>
      </c>
      <c r="B235" s="288" t="s">
        <v>3</v>
      </c>
      <c r="C235" s="287">
        <v>158307</v>
      </c>
      <c r="D235" s="162">
        <v>14</v>
      </c>
      <c r="E235" s="148" t="s">
        <v>393</v>
      </c>
      <c r="F235" s="488" t="s">
        <v>393</v>
      </c>
      <c r="G235" s="78"/>
      <c r="H235" s="675"/>
      <c r="I235" s="78"/>
      <c r="J235" s="675"/>
      <c r="K235" s="78"/>
      <c r="L235" s="675"/>
      <c r="M235" s="78"/>
      <c r="N235" s="675"/>
      <c r="O235" s="256">
        <f t="shared" si="108"/>
        <v>0</v>
      </c>
      <c r="P235" s="89">
        <f t="shared" si="114"/>
        <v>0</v>
      </c>
      <c r="Q235" s="257">
        <f t="shared" si="110"/>
        <v>0</v>
      </c>
      <c r="R235" s="79">
        <f t="shared" si="111"/>
        <v>0</v>
      </c>
      <c r="S235" s="78"/>
      <c r="T235" s="675"/>
      <c r="U235" s="256">
        <f t="shared" si="112"/>
        <v>0</v>
      </c>
      <c r="V235" s="434">
        <f t="shared" si="113"/>
        <v>0</v>
      </c>
      <c r="W235" s="78"/>
      <c r="X235" s="675"/>
      <c r="Y235" s="78"/>
      <c r="Z235" s="675"/>
      <c r="AA235" s="78"/>
      <c r="AB235" s="675"/>
      <c r="AC235" s="78"/>
      <c r="AD235" s="675"/>
      <c r="AE235" s="256">
        <f t="shared" si="102"/>
        <v>0</v>
      </c>
      <c r="AF235" s="89">
        <f t="shared" si="103"/>
        <v>0</v>
      </c>
      <c r="AG235" s="257">
        <f t="shared" si="104"/>
        <v>0</v>
      </c>
      <c r="AH235" s="79">
        <f t="shared" si="105"/>
        <v>0</v>
      </c>
      <c r="AI235" s="78"/>
      <c r="AJ235" s="675"/>
      <c r="AK235" s="256">
        <f t="shared" si="106"/>
        <v>0</v>
      </c>
      <c r="AL235" s="434">
        <f t="shared" si="107"/>
        <v>0</v>
      </c>
      <c r="AM235" s="78"/>
      <c r="AN235" s="675"/>
      <c r="AO235" s="78"/>
      <c r="AP235" s="675"/>
      <c r="AQ235" s="78"/>
      <c r="AR235" s="675"/>
      <c r="AS235" s="78"/>
      <c r="AT235" s="675"/>
      <c r="AU235" s="258">
        <f t="shared" si="96"/>
        <v>0</v>
      </c>
      <c r="AV235" s="89">
        <f t="shared" si="115"/>
        <v>0</v>
      </c>
      <c r="AW235" s="257">
        <f t="shared" si="98"/>
        <v>0</v>
      </c>
      <c r="AX235" s="79">
        <f t="shared" si="99"/>
        <v>0</v>
      </c>
      <c r="AY235" s="259">
        <f t="shared" si="100"/>
        <v>0</v>
      </c>
      <c r="AZ235" s="79">
        <f t="shared" si="101"/>
        <v>0</v>
      </c>
      <c r="BA235" s="677"/>
    </row>
    <row r="236" spans="1:53" s="93" customFormat="1">
      <c r="A236" s="500" t="s">
        <v>795</v>
      </c>
      <c r="B236" s="288" t="s">
        <v>4</v>
      </c>
      <c r="C236" s="287">
        <v>158352</v>
      </c>
      <c r="D236" s="162">
        <v>14</v>
      </c>
      <c r="E236" s="148" t="s">
        <v>393</v>
      </c>
      <c r="F236" s="488" t="s">
        <v>393</v>
      </c>
      <c r="G236" s="78"/>
      <c r="H236" s="675"/>
      <c r="I236" s="78"/>
      <c r="J236" s="675"/>
      <c r="K236" s="78"/>
      <c r="L236" s="675"/>
      <c r="M236" s="78"/>
      <c r="N236" s="675"/>
      <c r="O236" s="256">
        <f t="shared" si="108"/>
        <v>0</v>
      </c>
      <c r="P236" s="89">
        <f t="shared" si="114"/>
        <v>0</v>
      </c>
      <c r="Q236" s="257">
        <f t="shared" si="110"/>
        <v>0</v>
      </c>
      <c r="R236" s="79">
        <f t="shared" si="111"/>
        <v>0</v>
      </c>
      <c r="S236" s="78"/>
      <c r="T236" s="675"/>
      <c r="U236" s="256">
        <f t="shared" si="112"/>
        <v>0</v>
      </c>
      <c r="V236" s="434">
        <f t="shared" si="113"/>
        <v>0</v>
      </c>
      <c r="W236" s="78"/>
      <c r="X236" s="675"/>
      <c r="Y236" s="78"/>
      <c r="Z236" s="675"/>
      <c r="AA236" s="78"/>
      <c r="AB236" s="675"/>
      <c r="AC236" s="78"/>
      <c r="AD236" s="675"/>
      <c r="AE236" s="256">
        <f t="shared" si="102"/>
        <v>0</v>
      </c>
      <c r="AF236" s="89">
        <f t="shared" si="103"/>
        <v>0</v>
      </c>
      <c r="AG236" s="257">
        <f t="shared" si="104"/>
        <v>0</v>
      </c>
      <c r="AH236" s="79">
        <f t="shared" si="105"/>
        <v>0</v>
      </c>
      <c r="AI236" s="78"/>
      <c r="AJ236" s="675"/>
      <c r="AK236" s="256">
        <f t="shared" si="106"/>
        <v>0</v>
      </c>
      <c r="AL236" s="434">
        <f t="shared" si="107"/>
        <v>0</v>
      </c>
      <c r="AM236" s="78"/>
      <c r="AN236" s="675"/>
      <c r="AO236" s="78"/>
      <c r="AP236" s="675"/>
      <c r="AQ236" s="78"/>
      <c r="AR236" s="675"/>
      <c r="AS236" s="78"/>
      <c r="AT236" s="675"/>
      <c r="AU236" s="258">
        <f t="shared" si="96"/>
        <v>0</v>
      </c>
      <c r="AV236" s="89">
        <f t="shared" si="115"/>
        <v>0</v>
      </c>
      <c r="AW236" s="257">
        <f t="shared" si="98"/>
        <v>0</v>
      </c>
      <c r="AX236" s="79">
        <f t="shared" si="99"/>
        <v>0</v>
      </c>
      <c r="AY236" s="259">
        <f t="shared" si="100"/>
        <v>0</v>
      </c>
      <c r="AZ236" s="79">
        <f t="shared" si="101"/>
        <v>0</v>
      </c>
      <c r="BA236" s="677"/>
    </row>
    <row r="237" spans="1:53" s="93" customFormat="1">
      <c r="A237" s="500" t="s">
        <v>795</v>
      </c>
      <c r="B237" s="288" t="s">
        <v>5</v>
      </c>
      <c r="C237" s="287">
        <v>160816</v>
      </c>
      <c r="D237" s="162">
        <v>14</v>
      </c>
      <c r="E237" s="148" t="s">
        <v>393</v>
      </c>
      <c r="F237" s="488" t="s">
        <v>393</v>
      </c>
      <c r="G237" s="78"/>
      <c r="H237" s="675"/>
      <c r="I237" s="78"/>
      <c r="J237" s="675"/>
      <c r="K237" s="78"/>
      <c r="L237" s="675"/>
      <c r="M237" s="78"/>
      <c r="N237" s="675"/>
      <c r="O237" s="256">
        <f t="shared" si="108"/>
        <v>0</v>
      </c>
      <c r="P237" s="89">
        <f t="shared" si="114"/>
        <v>0</v>
      </c>
      <c r="Q237" s="257">
        <f t="shared" si="110"/>
        <v>0</v>
      </c>
      <c r="R237" s="79">
        <f t="shared" si="111"/>
        <v>0</v>
      </c>
      <c r="S237" s="78"/>
      <c r="T237" s="675"/>
      <c r="U237" s="256">
        <f t="shared" si="112"/>
        <v>0</v>
      </c>
      <c r="V237" s="434">
        <f t="shared" si="113"/>
        <v>0</v>
      </c>
      <c r="W237" s="78"/>
      <c r="X237" s="675"/>
      <c r="Y237" s="78"/>
      <c r="Z237" s="675"/>
      <c r="AA237" s="78"/>
      <c r="AB237" s="675"/>
      <c r="AC237" s="78"/>
      <c r="AD237" s="675"/>
      <c r="AE237" s="256">
        <f t="shared" si="102"/>
        <v>0</v>
      </c>
      <c r="AF237" s="89">
        <f t="shared" si="103"/>
        <v>0</v>
      </c>
      <c r="AG237" s="257">
        <f t="shared" si="104"/>
        <v>0</v>
      </c>
      <c r="AH237" s="79">
        <f t="shared" si="105"/>
        <v>0</v>
      </c>
      <c r="AI237" s="78"/>
      <c r="AJ237" s="675"/>
      <c r="AK237" s="256">
        <f t="shared" si="106"/>
        <v>0</v>
      </c>
      <c r="AL237" s="434">
        <f t="shared" si="107"/>
        <v>0</v>
      </c>
      <c r="AM237" s="78"/>
      <c r="AN237" s="675"/>
      <c r="AO237" s="78"/>
      <c r="AP237" s="675"/>
      <c r="AQ237" s="78"/>
      <c r="AR237" s="675"/>
      <c r="AS237" s="78"/>
      <c r="AT237" s="675"/>
      <c r="AU237" s="258">
        <f t="shared" si="96"/>
        <v>0</v>
      </c>
      <c r="AV237" s="89">
        <f t="shared" si="115"/>
        <v>0</v>
      </c>
      <c r="AW237" s="257">
        <f t="shared" si="98"/>
        <v>0</v>
      </c>
      <c r="AX237" s="79">
        <f t="shared" si="99"/>
        <v>0</v>
      </c>
      <c r="AY237" s="259">
        <f t="shared" si="100"/>
        <v>0</v>
      </c>
      <c r="AZ237" s="79">
        <f t="shared" si="101"/>
        <v>0</v>
      </c>
      <c r="BA237" s="677"/>
    </row>
    <row r="238" spans="1:53" s="93" customFormat="1">
      <c r="A238" s="500" t="s">
        <v>795</v>
      </c>
      <c r="B238" s="288" t="s">
        <v>6</v>
      </c>
      <c r="C238" s="287">
        <v>158769</v>
      </c>
      <c r="D238" s="162">
        <v>14</v>
      </c>
      <c r="E238" s="148" t="s">
        <v>393</v>
      </c>
      <c r="F238" s="488" t="s">
        <v>393</v>
      </c>
      <c r="G238" s="78"/>
      <c r="H238" s="675"/>
      <c r="I238" s="78"/>
      <c r="J238" s="675"/>
      <c r="K238" s="78"/>
      <c r="L238" s="675"/>
      <c r="M238" s="78"/>
      <c r="N238" s="675"/>
      <c r="O238" s="256">
        <f t="shared" si="108"/>
        <v>0</v>
      </c>
      <c r="P238" s="89">
        <f t="shared" si="114"/>
        <v>0</v>
      </c>
      <c r="Q238" s="257">
        <f t="shared" si="110"/>
        <v>0</v>
      </c>
      <c r="R238" s="79">
        <f t="shared" si="111"/>
        <v>0</v>
      </c>
      <c r="S238" s="78"/>
      <c r="T238" s="675"/>
      <c r="U238" s="256">
        <f t="shared" si="112"/>
        <v>0</v>
      </c>
      <c r="V238" s="434">
        <f t="shared" si="113"/>
        <v>0</v>
      </c>
      <c r="W238" s="78"/>
      <c r="X238" s="675"/>
      <c r="Y238" s="78"/>
      <c r="Z238" s="675"/>
      <c r="AA238" s="78"/>
      <c r="AB238" s="675"/>
      <c r="AC238" s="78"/>
      <c r="AD238" s="675"/>
      <c r="AE238" s="256">
        <f t="shared" si="102"/>
        <v>0</v>
      </c>
      <c r="AF238" s="89">
        <f t="shared" si="103"/>
        <v>0</v>
      </c>
      <c r="AG238" s="257">
        <f t="shared" si="104"/>
        <v>0</v>
      </c>
      <c r="AH238" s="79">
        <f t="shared" si="105"/>
        <v>0</v>
      </c>
      <c r="AI238" s="78"/>
      <c r="AJ238" s="675"/>
      <c r="AK238" s="256">
        <f t="shared" si="106"/>
        <v>0</v>
      </c>
      <c r="AL238" s="434">
        <f t="shared" si="107"/>
        <v>0</v>
      </c>
      <c r="AM238" s="78"/>
      <c r="AN238" s="675"/>
      <c r="AO238" s="78"/>
      <c r="AP238" s="675"/>
      <c r="AQ238" s="78"/>
      <c r="AR238" s="675"/>
      <c r="AS238" s="78"/>
      <c r="AT238" s="675"/>
      <c r="AU238" s="258">
        <f t="shared" si="96"/>
        <v>0</v>
      </c>
      <c r="AV238" s="89">
        <f t="shared" si="115"/>
        <v>0</v>
      </c>
      <c r="AW238" s="257">
        <f t="shared" si="98"/>
        <v>0</v>
      </c>
      <c r="AX238" s="79">
        <f t="shared" si="99"/>
        <v>0</v>
      </c>
      <c r="AY238" s="259">
        <f t="shared" si="100"/>
        <v>0</v>
      </c>
      <c r="AZ238" s="79">
        <f t="shared" si="101"/>
        <v>0</v>
      </c>
      <c r="BA238" s="677"/>
    </row>
    <row r="239" spans="1:53" s="93" customFormat="1">
      <c r="A239" s="500" t="s">
        <v>795</v>
      </c>
      <c r="B239" s="288" t="s">
        <v>7</v>
      </c>
      <c r="C239" s="287">
        <v>158893</v>
      </c>
      <c r="D239" s="162">
        <v>14</v>
      </c>
      <c r="E239" s="148" t="s">
        <v>393</v>
      </c>
      <c r="F239" s="488" t="s">
        <v>393</v>
      </c>
      <c r="G239" s="78"/>
      <c r="H239" s="675"/>
      <c r="I239" s="78"/>
      <c r="J239" s="675"/>
      <c r="K239" s="78"/>
      <c r="L239" s="675"/>
      <c r="M239" s="78"/>
      <c r="N239" s="675"/>
      <c r="O239" s="256">
        <f t="shared" si="108"/>
        <v>0</v>
      </c>
      <c r="P239" s="89">
        <f t="shared" si="114"/>
        <v>0</v>
      </c>
      <c r="Q239" s="257">
        <f t="shared" si="110"/>
        <v>0</v>
      </c>
      <c r="R239" s="79">
        <f t="shared" si="111"/>
        <v>0</v>
      </c>
      <c r="S239" s="78"/>
      <c r="T239" s="675"/>
      <c r="U239" s="256">
        <f t="shared" si="112"/>
        <v>0</v>
      </c>
      <c r="V239" s="434">
        <f t="shared" si="113"/>
        <v>0</v>
      </c>
      <c r="W239" s="78"/>
      <c r="X239" s="675"/>
      <c r="Y239" s="78"/>
      <c r="Z239" s="675"/>
      <c r="AA239" s="78"/>
      <c r="AB239" s="675"/>
      <c r="AC239" s="78"/>
      <c r="AD239" s="675"/>
      <c r="AE239" s="256">
        <f t="shared" si="102"/>
        <v>0</v>
      </c>
      <c r="AF239" s="89">
        <f t="shared" si="103"/>
        <v>0</v>
      </c>
      <c r="AG239" s="257">
        <f t="shared" si="104"/>
        <v>0</v>
      </c>
      <c r="AH239" s="79">
        <f t="shared" si="105"/>
        <v>0</v>
      </c>
      <c r="AI239" s="78"/>
      <c r="AJ239" s="675"/>
      <c r="AK239" s="256">
        <f t="shared" si="106"/>
        <v>0</v>
      </c>
      <c r="AL239" s="434">
        <f t="shared" si="107"/>
        <v>0</v>
      </c>
      <c r="AM239" s="78"/>
      <c r="AN239" s="675"/>
      <c r="AO239" s="78"/>
      <c r="AP239" s="675"/>
      <c r="AQ239" s="78"/>
      <c r="AR239" s="675"/>
      <c r="AS239" s="78"/>
      <c r="AT239" s="675"/>
      <c r="AU239" s="258">
        <f t="shared" si="96"/>
        <v>0</v>
      </c>
      <c r="AV239" s="89">
        <f t="shared" si="115"/>
        <v>0</v>
      </c>
      <c r="AW239" s="257">
        <f t="shared" si="98"/>
        <v>0</v>
      </c>
      <c r="AX239" s="79">
        <f t="shared" si="99"/>
        <v>0</v>
      </c>
      <c r="AY239" s="259">
        <f t="shared" si="100"/>
        <v>0</v>
      </c>
      <c r="AZ239" s="79">
        <f t="shared" si="101"/>
        <v>0</v>
      </c>
      <c r="BA239" s="677"/>
    </row>
    <row r="240" spans="1:53" s="93" customFormat="1">
      <c r="A240" s="500" t="s">
        <v>795</v>
      </c>
      <c r="B240" s="288" t="s">
        <v>8</v>
      </c>
      <c r="C240" s="287">
        <v>158936</v>
      </c>
      <c r="D240" s="162">
        <v>14</v>
      </c>
      <c r="E240" s="148" t="s">
        <v>393</v>
      </c>
      <c r="F240" s="488" t="s">
        <v>393</v>
      </c>
      <c r="G240" s="78"/>
      <c r="H240" s="675"/>
      <c r="I240" s="78"/>
      <c r="J240" s="675"/>
      <c r="K240" s="78"/>
      <c r="L240" s="675"/>
      <c r="M240" s="78"/>
      <c r="N240" s="675"/>
      <c r="O240" s="256">
        <f t="shared" si="108"/>
        <v>0</v>
      </c>
      <c r="P240" s="89">
        <f t="shared" si="114"/>
        <v>0</v>
      </c>
      <c r="Q240" s="257">
        <f t="shared" si="110"/>
        <v>0</v>
      </c>
      <c r="R240" s="79">
        <f t="shared" si="111"/>
        <v>0</v>
      </c>
      <c r="S240" s="78"/>
      <c r="T240" s="675"/>
      <c r="U240" s="256">
        <f t="shared" si="112"/>
        <v>0</v>
      </c>
      <c r="V240" s="434">
        <f t="shared" si="113"/>
        <v>0</v>
      </c>
      <c r="W240" s="78"/>
      <c r="X240" s="675"/>
      <c r="Y240" s="78"/>
      <c r="Z240" s="675"/>
      <c r="AA240" s="78"/>
      <c r="AB240" s="675"/>
      <c r="AC240" s="78"/>
      <c r="AD240" s="675"/>
      <c r="AE240" s="256">
        <f t="shared" si="102"/>
        <v>0</v>
      </c>
      <c r="AF240" s="89">
        <f t="shared" si="103"/>
        <v>0</v>
      </c>
      <c r="AG240" s="257">
        <f t="shared" si="104"/>
        <v>0</v>
      </c>
      <c r="AH240" s="79">
        <f t="shared" si="105"/>
        <v>0</v>
      </c>
      <c r="AI240" s="78"/>
      <c r="AJ240" s="675"/>
      <c r="AK240" s="256">
        <f t="shared" si="106"/>
        <v>0</v>
      </c>
      <c r="AL240" s="434">
        <f t="shared" si="107"/>
        <v>0</v>
      </c>
      <c r="AM240" s="78"/>
      <c r="AN240" s="675"/>
      <c r="AO240" s="78"/>
      <c r="AP240" s="675"/>
      <c r="AQ240" s="78"/>
      <c r="AR240" s="675"/>
      <c r="AS240" s="78"/>
      <c r="AT240" s="675"/>
      <c r="AU240" s="258">
        <f t="shared" si="96"/>
        <v>0</v>
      </c>
      <c r="AV240" s="89">
        <f t="shared" si="115"/>
        <v>0</v>
      </c>
      <c r="AW240" s="257">
        <f t="shared" si="98"/>
        <v>0</v>
      </c>
      <c r="AX240" s="79">
        <f t="shared" si="99"/>
        <v>0</v>
      </c>
      <c r="AY240" s="259">
        <f t="shared" si="100"/>
        <v>0</v>
      </c>
      <c r="AZ240" s="79">
        <f t="shared" si="101"/>
        <v>0</v>
      </c>
      <c r="BA240" s="677"/>
    </row>
    <row r="241" spans="1:53" s="93" customFormat="1">
      <c r="A241" s="500" t="s">
        <v>795</v>
      </c>
      <c r="B241" s="288" t="s">
        <v>9</v>
      </c>
      <c r="C241" s="287">
        <v>158945</v>
      </c>
      <c r="D241" s="162">
        <v>14</v>
      </c>
      <c r="E241" s="148" t="s">
        <v>393</v>
      </c>
      <c r="F241" s="488" t="s">
        <v>393</v>
      </c>
      <c r="G241" s="78"/>
      <c r="H241" s="675"/>
      <c r="I241" s="78"/>
      <c r="J241" s="675"/>
      <c r="K241" s="78"/>
      <c r="L241" s="675"/>
      <c r="M241" s="78"/>
      <c r="N241" s="675"/>
      <c r="O241" s="256">
        <f t="shared" si="108"/>
        <v>0</v>
      </c>
      <c r="P241" s="89">
        <f t="shared" si="114"/>
        <v>0</v>
      </c>
      <c r="Q241" s="257">
        <f t="shared" si="110"/>
        <v>0</v>
      </c>
      <c r="R241" s="79">
        <f t="shared" si="111"/>
        <v>0</v>
      </c>
      <c r="S241" s="78"/>
      <c r="T241" s="675"/>
      <c r="U241" s="256">
        <f t="shared" si="112"/>
        <v>0</v>
      </c>
      <c r="V241" s="434">
        <f t="shared" si="113"/>
        <v>0</v>
      </c>
      <c r="W241" s="78"/>
      <c r="X241" s="675"/>
      <c r="Y241" s="78"/>
      <c r="Z241" s="675"/>
      <c r="AA241" s="78"/>
      <c r="AB241" s="675"/>
      <c r="AC241" s="78"/>
      <c r="AD241" s="675"/>
      <c r="AE241" s="256">
        <f t="shared" si="102"/>
        <v>0</v>
      </c>
      <c r="AF241" s="89">
        <f t="shared" si="103"/>
        <v>0</v>
      </c>
      <c r="AG241" s="257">
        <f t="shared" si="104"/>
        <v>0</v>
      </c>
      <c r="AH241" s="79">
        <f t="shared" si="105"/>
        <v>0</v>
      </c>
      <c r="AI241" s="78"/>
      <c r="AJ241" s="675"/>
      <c r="AK241" s="256">
        <f t="shared" si="106"/>
        <v>0</v>
      </c>
      <c r="AL241" s="434">
        <f t="shared" si="107"/>
        <v>0</v>
      </c>
      <c r="AM241" s="78"/>
      <c r="AN241" s="675"/>
      <c r="AO241" s="78"/>
      <c r="AP241" s="675"/>
      <c r="AQ241" s="78"/>
      <c r="AR241" s="675"/>
      <c r="AS241" s="78"/>
      <c r="AT241" s="675"/>
      <c r="AU241" s="258">
        <f t="shared" si="96"/>
        <v>0</v>
      </c>
      <c r="AV241" s="89">
        <f t="shared" si="115"/>
        <v>0</v>
      </c>
      <c r="AW241" s="257">
        <f t="shared" si="98"/>
        <v>0</v>
      </c>
      <c r="AX241" s="79">
        <f t="shared" si="99"/>
        <v>0</v>
      </c>
      <c r="AY241" s="259">
        <f t="shared" si="100"/>
        <v>0</v>
      </c>
      <c r="AZ241" s="79">
        <f t="shared" si="101"/>
        <v>0</v>
      </c>
      <c r="BA241" s="677"/>
    </row>
    <row r="242" spans="1:53" s="93" customFormat="1">
      <c r="A242" s="500" t="s">
        <v>795</v>
      </c>
      <c r="B242" s="288" t="s">
        <v>12</v>
      </c>
      <c r="C242" s="287">
        <v>159018</v>
      </c>
      <c r="D242" s="162">
        <v>14</v>
      </c>
      <c r="E242" s="148" t="s">
        <v>393</v>
      </c>
      <c r="F242" s="488" t="s">
        <v>393</v>
      </c>
      <c r="G242" s="78"/>
      <c r="H242" s="675"/>
      <c r="I242" s="78"/>
      <c r="J242" s="675"/>
      <c r="K242" s="78"/>
      <c r="L242" s="675"/>
      <c r="M242" s="78"/>
      <c r="N242" s="675"/>
      <c r="O242" s="256">
        <f t="shared" ref="O242:O305" si="116">SUM(G242,I242,K242,M242)</f>
        <v>0</v>
      </c>
      <c r="P242" s="89">
        <f t="shared" si="114"/>
        <v>0</v>
      </c>
      <c r="Q242" s="257">
        <f t="shared" ref="Q242:Q305" si="117">SUM(H242,J242,L242,N242)</f>
        <v>0</v>
      </c>
      <c r="R242" s="79">
        <f t="shared" ref="R242:R304" si="118">+Q242/30</f>
        <v>0</v>
      </c>
      <c r="S242" s="78"/>
      <c r="T242" s="675"/>
      <c r="U242" s="256">
        <f t="shared" ref="U242:U305" si="119">IF(OR(ISBLANK(S242),(S242="—")),0,O242)</f>
        <v>0</v>
      </c>
      <c r="V242" s="434">
        <f t="shared" ref="V242:V305" si="120">IF(OR(ISBLANK(T242),(T242="—")),0,Q242)</f>
        <v>0</v>
      </c>
      <c r="W242" s="78"/>
      <c r="X242" s="675"/>
      <c r="Y242" s="78"/>
      <c r="Z242" s="675"/>
      <c r="AA242" s="78"/>
      <c r="AB242" s="675"/>
      <c r="AC242" s="78"/>
      <c r="AD242" s="675"/>
      <c r="AE242" s="256">
        <f t="shared" ref="AE242:AE305" si="121">SUM(W242,Y242,AA242,AC242)</f>
        <v>0</v>
      </c>
      <c r="AF242" s="89">
        <f t="shared" ref="AF242:AF304" si="122">+AE242/900</f>
        <v>0</v>
      </c>
      <c r="AG242" s="257">
        <f t="shared" ref="AG242:AG305" si="123">SUM(X242,Z242,AB242,AD242)</f>
        <v>0</v>
      </c>
      <c r="AH242" s="79">
        <f t="shared" ref="AH242:AH304" si="124">+AG242/900</f>
        <v>0</v>
      </c>
      <c r="AI242" s="78"/>
      <c r="AJ242" s="675"/>
      <c r="AK242" s="256">
        <f t="shared" ref="AK242:AK305" si="125">IF(OR(ISBLANK(AI242),(AI242="—")),0,AE242)</f>
        <v>0</v>
      </c>
      <c r="AL242" s="434">
        <f t="shared" ref="AL242:AL305" si="126">IF(OR(ISBLANK(AJ242),(AJ242="—")),0,AG242)</f>
        <v>0</v>
      </c>
      <c r="AM242" s="78"/>
      <c r="AN242" s="675"/>
      <c r="AO242" s="78"/>
      <c r="AP242" s="675"/>
      <c r="AQ242" s="78"/>
      <c r="AR242" s="675"/>
      <c r="AS242" s="78"/>
      <c r="AT242" s="675"/>
      <c r="AU242" s="258">
        <f t="shared" ref="AU242:AU304" si="127">SUM(AM242,AO242,AQ242,AS242)</f>
        <v>0</v>
      </c>
      <c r="AV242" s="89">
        <f t="shared" si="115"/>
        <v>0</v>
      </c>
      <c r="AW242" s="257">
        <f t="shared" ref="AW242:AW304" si="128">SUM(AN242,AP242,AR242,AT242)</f>
        <v>0</v>
      </c>
      <c r="AX242" s="79">
        <f t="shared" ref="AX242:AX304" si="129">+AW242/24</f>
        <v>0</v>
      </c>
      <c r="AY242" s="259">
        <f t="shared" ref="AY242:AY305" si="130">SUM(P242,AF242,AV242)</f>
        <v>0</v>
      </c>
      <c r="AZ242" s="79">
        <f t="shared" ref="AZ242:AZ305" si="131">SUM(R242,AH242,AX242)</f>
        <v>0</v>
      </c>
      <c r="BA242" s="677"/>
    </row>
    <row r="243" spans="1:53" s="93" customFormat="1">
      <c r="A243" s="500" t="s">
        <v>795</v>
      </c>
      <c r="B243" s="288" t="s">
        <v>13</v>
      </c>
      <c r="C243" s="287">
        <v>159045</v>
      </c>
      <c r="D243" s="162">
        <v>14</v>
      </c>
      <c r="E243" s="148" t="s">
        <v>393</v>
      </c>
      <c r="F243" s="488" t="s">
        <v>393</v>
      </c>
      <c r="G243" s="78"/>
      <c r="H243" s="675"/>
      <c r="I243" s="78"/>
      <c r="J243" s="675"/>
      <c r="K243" s="78"/>
      <c r="L243" s="675"/>
      <c r="M243" s="78"/>
      <c r="N243" s="675"/>
      <c r="O243" s="256">
        <f t="shared" si="116"/>
        <v>0</v>
      </c>
      <c r="P243" s="89">
        <f t="shared" si="114"/>
        <v>0</v>
      </c>
      <c r="Q243" s="257">
        <f t="shared" si="117"/>
        <v>0</v>
      </c>
      <c r="R243" s="79">
        <f t="shared" si="118"/>
        <v>0</v>
      </c>
      <c r="S243" s="78"/>
      <c r="T243" s="675"/>
      <c r="U243" s="256">
        <f t="shared" si="119"/>
        <v>0</v>
      </c>
      <c r="V243" s="434">
        <f t="shared" si="120"/>
        <v>0</v>
      </c>
      <c r="W243" s="78"/>
      <c r="X243" s="675"/>
      <c r="Y243" s="78"/>
      <c r="Z243" s="675"/>
      <c r="AA243" s="78"/>
      <c r="AB243" s="675"/>
      <c r="AC243" s="78"/>
      <c r="AD243" s="675"/>
      <c r="AE243" s="256">
        <f t="shared" si="121"/>
        <v>0</v>
      </c>
      <c r="AF243" s="89">
        <f t="shared" si="122"/>
        <v>0</v>
      </c>
      <c r="AG243" s="257">
        <f t="shared" si="123"/>
        <v>0</v>
      </c>
      <c r="AH243" s="79">
        <f t="shared" si="124"/>
        <v>0</v>
      </c>
      <c r="AI243" s="78"/>
      <c r="AJ243" s="675"/>
      <c r="AK243" s="256">
        <f t="shared" si="125"/>
        <v>0</v>
      </c>
      <c r="AL243" s="434">
        <f t="shared" si="126"/>
        <v>0</v>
      </c>
      <c r="AM243" s="78"/>
      <c r="AN243" s="675"/>
      <c r="AO243" s="78"/>
      <c r="AP243" s="675"/>
      <c r="AQ243" s="78"/>
      <c r="AR243" s="675"/>
      <c r="AS243" s="78"/>
      <c r="AT243" s="675"/>
      <c r="AU243" s="258">
        <f t="shared" si="127"/>
        <v>0</v>
      </c>
      <c r="AV243" s="89">
        <f t="shared" si="115"/>
        <v>0</v>
      </c>
      <c r="AW243" s="257">
        <f t="shared" si="128"/>
        <v>0</v>
      </c>
      <c r="AX243" s="79">
        <f t="shared" si="129"/>
        <v>0</v>
      </c>
      <c r="AY243" s="259">
        <f t="shared" si="130"/>
        <v>0</v>
      </c>
      <c r="AZ243" s="79">
        <f t="shared" si="131"/>
        <v>0</v>
      </c>
      <c r="BA243" s="677"/>
    </row>
    <row r="244" spans="1:53" s="93" customFormat="1">
      <c r="A244" s="500" t="s">
        <v>795</v>
      </c>
      <c r="B244" s="288" t="s">
        <v>14</v>
      </c>
      <c r="C244" s="287">
        <v>159090</v>
      </c>
      <c r="D244" s="162">
        <v>14</v>
      </c>
      <c r="E244" s="148" t="s">
        <v>393</v>
      </c>
      <c r="F244" s="488" t="s">
        <v>393</v>
      </c>
      <c r="G244" s="78"/>
      <c r="H244" s="675"/>
      <c r="I244" s="78"/>
      <c r="J244" s="675"/>
      <c r="K244" s="78"/>
      <c r="L244" s="675"/>
      <c r="M244" s="78"/>
      <c r="N244" s="675"/>
      <c r="O244" s="256">
        <f t="shared" si="116"/>
        <v>0</v>
      </c>
      <c r="P244" s="89">
        <f t="shared" si="114"/>
        <v>0</v>
      </c>
      <c r="Q244" s="257">
        <f t="shared" si="117"/>
        <v>0</v>
      </c>
      <c r="R244" s="79">
        <f t="shared" si="118"/>
        <v>0</v>
      </c>
      <c r="S244" s="78"/>
      <c r="T244" s="675"/>
      <c r="U244" s="256">
        <f t="shared" si="119"/>
        <v>0</v>
      </c>
      <c r="V244" s="434">
        <f t="shared" si="120"/>
        <v>0</v>
      </c>
      <c r="W244" s="78"/>
      <c r="X244" s="675"/>
      <c r="Y244" s="78"/>
      <c r="Z244" s="675"/>
      <c r="AA244" s="78"/>
      <c r="AB244" s="675"/>
      <c r="AC244" s="78"/>
      <c r="AD244" s="675"/>
      <c r="AE244" s="256">
        <f t="shared" si="121"/>
        <v>0</v>
      </c>
      <c r="AF244" s="89">
        <f t="shared" si="122"/>
        <v>0</v>
      </c>
      <c r="AG244" s="257">
        <f t="shared" si="123"/>
        <v>0</v>
      </c>
      <c r="AH244" s="79">
        <f t="shared" si="124"/>
        <v>0</v>
      </c>
      <c r="AI244" s="78"/>
      <c r="AJ244" s="675"/>
      <c r="AK244" s="256">
        <f t="shared" si="125"/>
        <v>0</v>
      </c>
      <c r="AL244" s="434">
        <f t="shared" si="126"/>
        <v>0</v>
      </c>
      <c r="AM244" s="78"/>
      <c r="AN244" s="675"/>
      <c r="AO244" s="78"/>
      <c r="AP244" s="675"/>
      <c r="AQ244" s="78"/>
      <c r="AR244" s="675"/>
      <c r="AS244" s="78"/>
      <c r="AT244" s="675"/>
      <c r="AU244" s="258">
        <f t="shared" si="127"/>
        <v>0</v>
      </c>
      <c r="AV244" s="89">
        <f t="shared" si="115"/>
        <v>0</v>
      </c>
      <c r="AW244" s="257">
        <f t="shared" si="128"/>
        <v>0</v>
      </c>
      <c r="AX244" s="79">
        <f t="shared" si="129"/>
        <v>0</v>
      </c>
      <c r="AY244" s="259">
        <f t="shared" si="130"/>
        <v>0</v>
      </c>
      <c r="AZ244" s="79">
        <f t="shared" si="131"/>
        <v>0</v>
      </c>
      <c r="BA244" s="677"/>
    </row>
    <row r="245" spans="1:53" s="93" customFormat="1">
      <c r="A245" s="500" t="s">
        <v>795</v>
      </c>
      <c r="B245" s="288" t="s">
        <v>15</v>
      </c>
      <c r="C245" s="287">
        <v>159258</v>
      </c>
      <c r="D245" s="162">
        <v>14</v>
      </c>
      <c r="E245" s="148" t="s">
        <v>393</v>
      </c>
      <c r="F245" s="488" t="s">
        <v>393</v>
      </c>
      <c r="G245" s="78"/>
      <c r="H245" s="675"/>
      <c r="I245" s="78"/>
      <c r="J245" s="675"/>
      <c r="K245" s="78"/>
      <c r="L245" s="675"/>
      <c r="M245" s="78"/>
      <c r="N245" s="675"/>
      <c r="O245" s="256">
        <f t="shared" si="116"/>
        <v>0</v>
      </c>
      <c r="P245" s="89">
        <f t="shared" si="114"/>
        <v>0</v>
      </c>
      <c r="Q245" s="257">
        <f t="shared" si="117"/>
        <v>0</v>
      </c>
      <c r="R245" s="79">
        <f t="shared" si="118"/>
        <v>0</v>
      </c>
      <c r="S245" s="78"/>
      <c r="T245" s="675"/>
      <c r="U245" s="256">
        <f t="shared" si="119"/>
        <v>0</v>
      </c>
      <c r="V245" s="434">
        <f t="shared" si="120"/>
        <v>0</v>
      </c>
      <c r="W245" s="78"/>
      <c r="X245" s="675"/>
      <c r="Y245" s="78"/>
      <c r="Z245" s="675"/>
      <c r="AA245" s="78"/>
      <c r="AB245" s="675"/>
      <c r="AC245" s="78"/>
      <c r="AD245" s="675"/>
      <c r="AE245" s="256">
        <f t="shared" si="121"/>
        <v>0</v>
      </c>
      <c r="AF245" s="89">
        <f t="shared" si="122"/>
        <v>0</v>
      </c>
      <c r="AG245" s="257">
        <f t="shared" si="123"/>
        <v>0</v>
      </c>
      <c r="AH245" s="79">
        <f t="shared" si="124"/>
        <v>0</v>
      </c>
      <c r="AI245" s="78"/>
      <c r="AJ245" s="675"/>
      <c r="AK245" s="256">
        <f t="shared" si="125"/>
        <v>0</v>
      </c>
      <c r="AL245" s="434">
        <f t="shared" si="126"/>
        <v>0</v>
      </c>
      <c r="AM245" s="78"/>
      <c r="AN245" s="675"/>
      <c r="AO245" s="78"/>
      <c r="AP245" s="675"/>
      <c r="AQ245" s="78"/>
      <c r="AR245" s="675"/>
      <c r="AS245" s="78"/>
      <c r="AT245" s="675"/>
      <c r="AU245" s="258">
        <f t="shared" si="127"/>
        <v>0</v>
      </c>
      <c r="AV245" s="89">
        <f t="shared" si="115"/>
        <v>0</v>
      </c>
      <c r="AW245" s="257">
        <f t="shared" si="128"/>
        <v>0</v>
      </c>
      <c r="AX245" s="79">
        <f t="shared" si="129"/>
        <v>0</v>
      </c>
      <c r="AY245" s="259">
        <f t="shared" si="130"/>
        <v>0</v>
      </c>
      <c r="AZ245" s="79">
        <f t="shared" si="131"/>
        <v>0</v>
      </c>
      <c r="BA245" s="677"/>
    </row>
    <row r="246" spans="1:53" s="93" customFormat="1">
      <c r="A246" s="500" t="s">
        <v>795</v>
      </c>
      <c r="B246" s="288" t="s">
        <v>16</v>
      </c>
      <c r="C246" s="287">
        <v>160214</v>
      </c>
      <c r="D246" s="162">
        <v>14</v>
      </c>
      <c r="E246" s="148" t="s">
        <v>393</v>
      </c>
      <c r="F246" s="488" t="s">
        <v>393</v>
      </c>
      <c r="G246" s="78"/>
      <c r="H246" s="675"/>
      <c r="I246" s="78"/>
      <c r="J246" s="675"/>
      <c r="K246" s="78"/>
      <c r="L246" s="675"/>
      <c r="M246" s="78"/>
      <c r="N246" s="675"/>
      <c r="O246" s="256">
        <f t="shared" si="116"/>
        <v>0</v>
      </c>
      <c r="P246" s="89">
        <f t="shared" si="114"/>
        <v>0</v>
      </c>
      <c r="Q246" s="257">
        <f t="shared" si="117"/>
        <v>0</v>
      </c>
      <c r="R246" s="79">
        <f t="shared" si="118"/>
        <v>0</v>
      </c>
      <c r="S246" s="78"/>
      <c r="T246" s="675"/>
      <c r="U246" s="256">
        <f t="shared" si="119"/>
        <v>0</v>
      </c>
      <c r="V246" s="434">
        <f t="shared" si="120"/>
        <v>0</v>
      </c>
      <c r="W246" s="78"/>
      <c r="X246" s="675"/>
      <c r="Y246" s="78"/>
      <c r="Z246" s="675"/>
      <c r="AA246" s="78"/>
      <c r="AB246" s="675"/>
      <c r="AC246" s="78"/>
      <c r="AD246" s="675"/>
      <c r="AE246" s="256">
        <f t="shared" si="121"/>
        <v>0</v>
      </c>
      <c r="AF246" s="89">
        <f t="shared" si="122"/>
        <v>0</v>
      </c>
      <c r="AG246" s="257">
        <f t="shared" si="123"/>
        <v>0</v>
      </c>
      <c r="AH246" s="79">
        <f t="shared" si="124"/>
        <v>0</v>
      </c>
      <c r="AI246" s="78"/>
      <c r="AJ246" s="675"/>
      <c r="AK246" s="256">
        <f t="shared" si="125"/>
        <v>0</v>
      </c>
      <c r="AL246" s="434">
        <f t="shared" si="126"/>
        <v>0</v>
      </c>
      <c r="AM246" s="78"/>
      <c r="AN246" s="675"/>
      <c r="AO246" s="78"/>
      <c r="AP246" s="675"/>
      <c r="AQ246" s="78"/>
      <c r="AR246" s="675"/>
      <c r="AS246" s="78"/>
      <c r="AT246" s="675"/>
      <c r="AU246" s="258">
        <f t="shared" si="127"/>
        <v>0</v>
      </c>
      <c r="AV246" s="89">
        <f t="shared" si="115"/>
        <v>0</v>
      </c>
      <c r="AW246" s="257">
        <f t="shared" si="128"/>
        <v>0</v>
      </c>
      <c r="AX246" s="79">
        <f t="shared" si="129"/>
        <v>0</v>
      </c>
      <c r="AY246" s="259">
        <f t="shared" si="130"/>
        <v>0</v>
      </c>
      <c r="AZ246" s="79">
        <f t="shared" si="131"/>
        <v>0</v>
      </c>
      <c r="BA246" s="677"/>
    </row>
    <row r="247" spans="1:53" s="93" customFormat="1">
      <c r="A247" s="500" t="s">
        <v>795</v>
      </c>
      <c r="B247" s="288" t="s">
        <v>17</v>
      </c>
      <c r="C247" s="287">
        <v>159443</v>
      </c>
      <c r="D247" s="162">
        <v>14</v>
      </c>
      <c r="E247" s="148" t="s">
        <v>393</v>
      </c>
      <c r="F247" s="488" t="s">
        <v>393</v>
      </c>
      <c r="G247" s="78"/>
      <c r="H247" s="675"/>
      <c r="I247" s="78"/>
      <c r="J247" s="675"/>
      <c r="K247" s="78"/>
      <c r="L247" s="675"/>
      <c r="M247" s="78"/>
      <c r="N247" s="675"/>
      <c r="O247" s="256">
        <f t="shared" si="116"/>
        <v>0</v>
      </c>
      <c r="P247" s="89">
        <f t="shared" si="114"/>
        <v>0</v>
      </c>
      <c r="Q247" s="257">
        <f t="shared" si="117"/>
        <v>0</v>
      </c>
      <c r="R247" s="79">
        <f t="shared" si="118"/>
        <v>0</v>
      </c>
      <c r="S247" s="78"/>
      <c r="T247" s="675"/>
      <c r="U247" s="256">
        <f t="shared" si="119"/>
        <v>0</v>
      </c>
      <c r="V247" s="434">
        <f t="shared" si="120"/>
        <v>0</v>
      </c>
      <c r="W247" s="78"/>
      <c r="X247" s="675"/>
      <c r="Y247" s="78"/>
      <c r="Z247" s="675"/>
      <c r="AA247" s="78"/>
      <c r="AB247" s="675"/>
      <c r="AC247" s="78"/>
      <c r="AD247" s="675"/>
      <c r="AE247" s="256">
        <f t="shared" si="121"/>
        <v>0</v>
      </c>
      <c r="AF247" s="89">
        <f t="shared" si="122"/>
        <v>0</v>
      </c>
      <c r="AG247" s="257">
        <f t="shared" si="123"/>
        <v>0</v>
      </c>
      <c r="AH247" s="79">
        <f t="shared" si="124"/>
        <v>0</v>
      </c>
      <c r="AI247" s="78"/>
      <c r="AJ247" s="675"/>
      <c r="AK247" s="256">
        <f t="shared" si="125"/>
        <v>0</v>
      </c>
      <c r="AL247" s="434">
        <f t="shared" si="126"/>
        <v>0</v>
      </c>
      <c r="AM247" s="78"/>
      <c r="AN247" s="675"/>
      <c r="AO247" s="78"/>
      <c r="AP247" s="675"/>
      <c r="AQ247" s="78"/>
      <c r="AR247" s="675"/>
      <c r="AS247" s="78"/>
      <c r="AT247" s="675"/>
      <c r="AU247" s="258">
        <f t="shared" si="127"/>
        <v>0</v>
      </c>
      <c r="AV247" s="89">
        <f t="shared" si="115"/>
        <v>0</v>
      </c>
      <c r="AW247" s="257">
        <f t="shared" si="128"/>
        <v>0</v>
      </c>
      <c r="AX247" s="79">
        <f t="shared" si="129"/>
        <v>0</v>
      </c>
      <c r="AY247" s="259">
        <f t="shared" si="130"/>
        <v>0</v>
      </c>
      <c r="AZ247" s="79">
        <f t="shared" si="131"/>
        <v>0</v>
      </c>
      <c r="BA247" s="677"/>
    </row>
    <row r="248" spans="1:53" s="93" customFormat="1">
      <c r="A248" s="500" t="s">
        <v>795</v>
      </c>
      <c r="B248" s="288" t="s">
        <v>18</v>
      </c>
      <c r="C248" s="287">
        <v>160719</v>
      </c>
      <c r="D248" s="162">
        <v>14</v>
      </c>
      <c r="E248" s="148" t="s">
        <v>393</v>
      </c>
      <c r="F248" s="488" t="s">
        <v>393</v>
      </c>
      <c r="G248" s="78"/>
      <c r="H248" s="675"/>
      <c r="I248" s="78"/>
      <c r="J248" s="675"/>
      <c r="K248" s="78"/>
      <c r="L248" s="675"/>
      <c r="M248" s="78"/>
      <c r="N248" s="675"/>
      <c r="O248" s="256">
        <f t="shared" si="116"/>
        <v>0</v>
      </c>
      <c r="P248" s="89">
        <f t="shared" si="114"/>
        <v>0</v>
      </c>
      <c r="Q248" s="257">
        <f t="shared" si="117"/>
        <v>0</v>
      </c>
      <c r="R248" s="79">
        <f t="shared" si="118"/>
        <v>0</v>
      </c>
      <c r="S248" s="78"/>
      <c r="T248" s="675"/>
      <c r="U248" s="256">
        <f t="shared" si="119"/>
        <v>0</v>
      </c>
      <c r="V248" s="434">
        <f t="shared" si="120"/>
        <v>0</v>
      </c>
      <c r="W248" s="78"/>
      <c r="X248" s="675"/>
      <c r="Y248" s="78"/>
      <c r="Z248" s="675"/>
      <c r="AA248" s="78"/>
      <c r="AB248" s="675"/>
      <c r="AC248" s="78"/>
      <c r="AD248" s="675"/>
      <c r="AE248" s="256">
        <f t="shared" si="121"/>
        <v>0</v>
      </c>
      <c r="AF248" s="89">
        <f t="shared" si="122"/>
        <v>0</v>
      </c>
      <c r="AG248" s="257">
        <f t="shared" si="123"/>
        <v>0</v>
      </c>
      <c r="AH248" s="79">
        <f t="shared" si="124"/>
        <v>0</v>
      </c>
      <c r="AI248" s="78"/>
      <c r="AJ248" s="675"/>
      <c r="AK248" s="256">
        <f t="shared" si="125"/>
        <v>0</v>
      </c>
      <c r="AL248" s="434">
        <f t="shared" si="126"/>
        <v>0</v>
      </c>
      <c r="AM248" s="78"/>
      <c r="AN248" s="675"/>
      <c r="AO248" s="78"/>
      <c r="AP248" s="675"/>
      <c r="AQ248" s="78"/>
      <c r="AR248" s="675"/>
      <c r="AS248" s="78"/>
      <c r="AT248" s="675"/>
      <c r="AU248" s="258">
        <f t="shared" si="127"/>
        <v>0</v>
      </c>
      <c r="AV248" s="89">
        <f t="shared" si="115"/>
        <v>0</v>
      </c>
      <c r="AW248" s="257">
        <f t="shared" si="128"/>
        <v>0</v>
      </c>
      <c r="AX248" s="79">
        <f t="shared" si="129"/>
        <v>0</v>
      </c>
      <c r="AY248" s="259">
        <f t="shared" si="130"/>
        <v>0</v>
      </c>
      <c r="AZ248" s="79">
        <f t="shared" si="131"/>
        <v>0</v>
      </c>
      <c r="BA248" s="677"/>
    </row>
    <row r="249" spans="1:53" s="93" customFormat="1">
      <c r="A249" s="500" t="s">
        <v>795</v>
      </c>
      <c r="B249" s="288" t="s">
        <v>19</v>
      </c>
      <c r="C249" s="287">
        <v>160843</v>
      </c>
      <c r="D249" s="162">
        <v>14</v>
      </c>
      <c r="E249" s="148" t="s">
        <v>393</v>
      </c>
      <c r="F249" s="488" t="s">
        <v>393</v>
      </c>
      <c r="G249" s="78"/>
      <c r="H249" s="675"/>
      <c r="I249" s="78"/>
      <c r="J249" s="675"/>
      <c r="K249" s="78"/>
      <c r="L249" s="675"/>
      <c r="M249" s="78"/>
      <c r="N249" s="675"/>
      <c r="O249" s="256">
        <f t="shared" si="116"/>
        <v>0</v>
      </c>
      <c r="P249" s="89">
        <f t="shared" si="114"/>
        <v>0</v>
      </c>
      <c r="Q249" s="257">
        <f t="shared" si="117"/>
        <v>0</v>
      </c>
      <c r="R249" s="79">
        <f t="shared" si="118"/>
        <v>0</v>
      </c>
      <c r="S249" s="78"/>
      <c r="T249" s="675"/>
      <c r="U249" s="256">
        <f t="shared" si="119"/>
        <v>0</v>
      </c>
      <c r="V249" s="434">
        <f t="shared" si="120"/>
        <v>0</v>
      </c>
      <c r="W249" s="78"/>
      <c r="X249" s="675"/>
      <c r="Y249" s="78"/>
      <c r="Z249" s="675"/>
      <c r="AA249" s="78"/>
      <c r="AB249" s="675"/>
      <c r="AC249" s="78"/>
      <c r="AD249" s="675"/>
      <c r="AE249" s="256">
        <f t="shared" si="121"/>
        <v>0</v>
      </c>
      <c r="AF249" s="89">
        <f t="shared" si="122"/>
        <v>0</v>
      </c>
      <c r="AG249" s="257">
        <f t="shared" si="123"/>
        <v>0</v>
      </c>
      <c r="AH249" s="79">
        <f t="shared" si="124"/>
        <v>0</v>
      </c>
      <c r="AI249" s="78"/>
      <c r="AJ249" s="675"/>
      <c r="AK249" s="256">
        <f t="shared" si="125"/>
        <v>0</v>
      </c>
      <c r="AL249" s="434">
        <f t="shared" si="126"/>
        <v>0</v>
      </c>
      <c r="AM249" s="78"/>
      <c r="AN249" s="675"/>
      <c r="AO249" s="78"/>
      <c r="AP249" s="675"/>
      <c r="AQ249" s="78"/>
      <c r="AR249" s="675"/>
      <c r="AS249" s="78"/>
      <c r="AT249" s="675"/>
      <c r="AU249" s="258">
        <f t="shared" si="127"/>
        <v>0</v>
      </c>
      <c r="AV249" s="89">
        <f t="shared" si="115"/>
        <v>0</v>
      </c>
      <c r="AW249" s="257">
        <f t="shared" si="128"/>
        <v>0</v>
      </c>
      <c r="AX249" s="79">
        <f t="shared" si="129"/>
        <v>0</v>
      </c>
      <c r="AY249" s="259">
        <f t="shared" si="130"/>
        <v>0</v>
      </c>
      <c r="AZ249" s="79">
        <f t="shared" si="131"/>
        <v>0</v>
      </c>
      <c r="BA249" s="677"/>
    </row>
    <row r="250" spans="1:53" s="93" customFormat="1">
      <c r="A250" s="500" t="s">
        <v>795</v>
      </c>
      <c r="B250" s="288" t="s">
        <v>20</v>
      </c>
      <c r="C250" s="287">
        <v>159692</v>
      </c>
      <c r="D250" s="162">
        <v>14</v>
      </c>
      <c r="E250" s="148" t="s">
        <v>393</v>
      </c>
      <c r="F250" s="488" t="s">
        <v>393</v>
      </c>
      <c r="G250" s="78"/>
      <c r="H250" s="675"/>
      <c r="I250" s="78"/>
      <c r="J250" s="675"/>
      <c r="K250" s="78"/>
      <c r="L250" s="675"/>
      <c r="M250" s="78"/>
      <c r="N250" s="675"/>
      <c r="O250" s="256">
        <f t="shared" si="116"/>
        <v>0</v>
      </c>
      <c r="P250" s="89">
        <f t="shared" si="114"/>
        <v>0</v>
      </c>
      <c r="Q250" s="257">
        <f t="shared" si="117"/>
        <v>0</v>
      </c>
      <c r="R250" s="79">
        <f t="shared" si="118"/>
        <v>0</v>
      </c>
      <c r="S250" s="78"/>
      <c r="T250" s="675"/>
      <c r="U250" s="256">
        <f t="shared" si="119"/>
        <v>0</v>
      </c>
      <c r="V250" s="434">
        <f t="shared" si="120"/>
        <v>0</v>
      </c>
      <c r="W250" s="78"/>
      <c r="X250" s="675"/>
      <c r="Y250" s="78"/>
      <c r="Z250" s="675"/>
      <c r="AA250" s="78"/>
      <c r="AB250" s="675"/>
      <c r="AC250" s="78"/>
      <c r="AD250" s="675"/>
      <c r="AE250" s="256">
        <f t="shared" si="121"/>
        <v>0</v>
      </c>
      <c r="AF250" s="89">
        <f t="shared" si="122"/>
        <v>0</v>
      </c>
      <c r="AG250" s="257">
        <f t="shared" si="123"/>
        <v>0</v>
      </c>
      <c r="AH250" s="79">
        <f t="shared" si="124"/>
        <v>0</v>
      </c>
      <c r="AI250" s="78"/>
      <c r="AJ250" s="675"/>
      <c r="AK250" s="256">
        <f t="shared" si="125"/>
        <v>0</v>
      </c>
      <c r="AL250" s="434">
        <f t="shared" si="126"/>
        <v>0</v>
      </c>
      <c r="AM250" s="78"/>
      <c r="AN250" s="675"/>
      <c r="AO250" s="78"/>
      <c r="AP250" s="675"/>
      <c r="AQ250" s="78"/>
      <c r="AR250" s="675"/>
      <c r="AS250" s="78"/>
      <c r="AT250" s="675"/>
      <c r="AU250" s="258">
        <f t="shared" si="127"/>
        <v>0</v>
      </c>
      <c r="AV250" s="89">
        <f t="shared" si="115"/>
        <v>0</v>
      </c>
      <c r="AW250" s="257">
        <f t="shared" si="128"/>
        <v>0</v>
      </c>
      <c r="AX250" s="79">
        <f t="shared" si="129"/>
        <v>0</v>
      </c>
      <c r="AY250" s="259">
        <f t="shared" si="130"/>
        <v>0</v>
      </c>
      <c r="AZ250" s="79">
        <f t="shared" si="131"/>
        <v>0</v>
      </c>
      <c r="BA250" s="677"/>
    </row>
    <row r="251" spans="1:53" s="93" customFormat="1">
      <c r="A251" s="500" t="s">
        <v>795</v>
      </c>
      <c r="B251" s="288" t="s">
        <v>21</v>
      </c>
      <c r="C251" s="287">
        <v>159249</v>
      </c>
      <c r="D251" s="162">
        <v>14</v>
      </c>
      <c r="E251" s="148" t="s">
        <v>393</v>
      </c>
      <c r="F251" s="488" t="s">
        <v>393</v>
      </c>
      <c r="G251" s="78"/>
      <c r="H251" s="675"/>
      <c r="I251" s="78"/>
      <c r="J251" s="675"/>
      <c r="K251" s="78"/>
      <c r="L251" s="675"/>
      <c r="M251" s="78"/>
      <c r="N251" s="675"/>
      <c r="O251" s="256">
        <f t="shared" si="116"/>
        <v>0</v>
      </c>
      <c r="P251" s="89">
        <f t="shared" si="114"/>
        <v>0</v>
      </c>
      <c r="Q251" s="257">
        <f t="shared" si="117"/>
        <v>0</v>
      </c>
      <c r="R251" s="79">
        <f t="shared" si="118"/>
        <v>0</v>
      </c>
      <c r="S251" s="78"/>
      <c r="T251" s="675"/>
      <c r="U251" s="256">
        <f t="shared" si="119"/>
        <v>0</v>
      </c>
      <c r="V251" s="434">
        <f t="shared" si="120"/>
        <v>0</v>
      </c>
      <c r="W251" s="78"/>
      <c r="X251" s="675"/>
      <c r="Y251" s="78"/>
      <c r="Z251" s="675"/>
      <c r="AA251" s="78"/>
      <c r="AB251" s="675"/>
      <c r="AC251" s="78"/>
      <c r="AD251" s="675"/>
      <c r="AE251" s="256">
        <f t="shared" si="121"/>
        <v>0</v>
      </c>
      <c r="AF251" s="89">
        <f t="shared" si="122"/>
        <v>0</v>
      </c>
      <c r="AG251" s="257">
        <f t="shared" si="123"/>
        <v>0</v>
      </c>
      <c r="AH251" s="79">
        <f t="shared" si="124"/>
        <v>0</v>
      </c>
      <c r="AI251" s="78"/>
      <c r="AJ251" s="675"/>
      <c r="AK251" s="256">
        <f t="shared" si="125"/>
        <v>0</v>
      </c>
      <c r="AL251" s="434">
        <f t="shared" si="126"/>
        <v>0</v>
      </c>
      <c r="AM251" s="78"/>
      <c r="AN251" s="675"/>
      <c r="AO251" s="78"/>
      <c r="AP251" s="675"/>
      <c r="AQ251" s="78"/>
      <c r="AR251" s="675"/>
      <c r="AS251" s="78"/>
      <c r="AT251" s="675"/>
      <c r="AU251" s="258">
        <f t="shared" si="127"/>
        <v>0</v>
      </c>
      <c r="AV251" s="89">
        <f t="shared" si="115"/>
        <v>0</v>
      </c>
      <c r="AW251" s="257">
        <f t="shared" si="128"/>
        <v>0</v>
      </c>
      <c r="AX251" s="79">
        <f t="shared" si="129"/>
        <v>0</v>
      </c>
      <c r="AY251" s="259">
        <f t="shared" si="130"/>
        <v>0</v>
      </c>
      <c r="AZ251" s="79">
        <f t="shared" si="131"/>
        <v>0</v>
      </c>
      <c r="BA251" s="677"/>
    </row>
    <row r="252" spans="1:53" s="93" customFormat="1">
      <c r="A252" s="500" t="s">
        <v>795</v>
      </c>
      <c r="B252" s="288" t="s">
        <v>22</v>
      </c>
      <c r="C252" s="287">
        <v>159823</v>
      </c>
      <c r="D252" s="162">
        <v>14</v>
      </c>
      <c r="E252" s="148" t="s">
        <v>393</v>
      </c>
      <c r="F252" s="488" t="s">
        <v>393</v>
      </c>
      <c r="G252" s="78"/>
      <c r="H252" s="675"/>
      <c r="I252" s="78"/>
      <c r="J252" s="675"/>
      <c r="K252" s="78"/>
      <c r="L252" s="675"/>
      <c r="M252" s="78"/>
      <c r="N252" s="675"/>
      <c r="O252" s="256">
        <f t="shared" si="116"/>
        <v>0</v>
      </c>
      <c r="P252" s="89">
        <f t="shared" si="114"/>
        <v>0</v>
      </c>
      <c r="Q252" s="257">
        <f t="shared" si="117"/>
        <v>0</v>
      </c>
      <c r="R252" s="79">
        <f t="shared" si="118"/>
        <v>0</v>
      </c>
      <c r="S252" s="78"/>
      <c r="T252" s="675"/>
      <c r="U252" s="256">
        <f t="shared" si="119"/>
        <v>0</v>
      </c>
      <c r="V252" s="434">
        <f t="shared" si="120"/>
        <v>0</v>
      </c>
      <c r="W252" s="78"/>
      <c r="X252" s="675"/>
      <c r="Y252" s="78"/>
      <c r="Z252" s="675"/>
      <c r="AA252" s="78"/>
      <c r="AB252" s="675"/>
      <c r="AC252" s="78"/>
      <c r="AD252" s="675"/>
      <c r="AE252" s="256">
        <f t="shared" si="121"/>
        <v>0</v>
      </c>
      <c r="AF252" s="89">
        <f t="shared" si="122"/>
        <v>0</v>
      </c>
      <c r="AG252" s="257">
        <f t="shared" si="123"/>
        <v>0</v>
      </c>
      <c r="AH252" s="79">
        <f t="shared" si="124"/>
        <v>0</v>
      </c>
      <c r="AI252" s="78"/>
      <c r="AJ252" s="675"/>
      <c r="AK252" s="256">
        <f t="shared" si="125"/>
        <v>0</v>
      </c>
      <c r="AL252" s="434">
        <f t="shared" si="126"/>
        <v>0</v>
      </c>
      <c r="AM252" s="78"/>
      <c r="AN252" s="675"/>
      <c r="AO252" s="78"/>
      <c r="AP252" s="675"/>
      <c r="AQ252" s="78"/>
      <c r="AR252" s="675"/>
      <c r="AS252" s="78"/>
      <c r="AT252" s="675"/>
      <c r="AU252" s="258">
        <f t="shared" si="127"/>
        <v>0</v>
      </c>
      <c r="AV252" s="89">
        <f t="shared" si="115"/>
        <v>0</v>
      </c>
      <c r="AW252" s="257">
        <f t="shared" si="128"/>
        <v>0</v>
      </c>
      <c r="AX252" s="79">
        <f t="shared" si="129"/>
        <v>0</v>
      </c>
      <c r="AY252" s="259">
        <f t="shared" si="130"/>
        <v>0</v>
      </c>
      <c r="AZ252" s="79">
        <f t="shared" si="131"/>
        <v>0</v>
      </c>
      <c r="BA252" s="677"/>
    </row>
    <row r="253" spans="1:53" s="93" customFormat="1">
      <c r="A253" s="500" t="s">
        <v>795</v>
      </c>
      <c r="B253" s="288" t="s">
        <v>23</v>
      </c>
      <c r="C253" s="287">
        <v>159984</v>
      </c>
      <c r="D253" s="162">
        <v>14</v>
      </c>
      <c r="E253" s="148" t="s">
        <v>393</v>
      </c>
      <c r="F253" s="488" t="s">
        <v>393</v>
      </c>
      <c r="G253" s="78"/>
      <c r="H253" s="675"/>
      <c r="I253" s="78"/>
      <c r="J253" s="675"/>
      <c r="K253" s="78"/>
      <c r="L253" s="675"/>
      <c r="M253" s="78"/>
      <c r="N253" s="675"/>
      <c r="O253" s="256">
        <f t="shared" si="116"/>
        <v>0</v>
      </c>
      <c r="P253" s="89">
        <f t="shared" si="114"/>
        <v>0</v>
      </c>
      <c r="Q253" s="257">
        <f t="shared" si="117"/>
        <v>0</v>
      </c>
      <c r="R253" s="79">
        <f t="shared" si="118"/>
        <v>0</v>
      </c>
      <c r="S253" s="78"/>
      <c r="T253" s="675"/>
      <c r="U253" s="256">
        <f t="shared" si="119"/>
        <v>0</v>
      </c>
      <c r="V253" s="434">
        <f t="shared" si="120"/>
        <v>0</v>
      </c>
      <c r="W253" s="78"/>
      <c r="X253" s="675"/>
      <c r="Y253" s="78"/>
      <c r="Z253" s="675"/>
      <c r="AA253" s="78"/>
      <c r="AB253" s="675"/>
      <c r="AC253" s="78"/>
      <c r="AD253" s="675"/>
      <c r="AE253" s="256">
        <f t="shared" si="121"/>
        <v>0</v>
      </c>
      <c r="AF253" s="89">
        <f t="shared" si="122"/>
        <v>0</v>
      </c>
      <c r="AG253" s="257">
        <f t="shared" si="123"/>
        <v>0</v>
      </c>
      <c r="AH253" s="79">
        <f t="shared" si="124"/>
        <v>0</v>
      </c>
      <c r="AI253" s="78"/>
      <c r="AJ253" s="675"/>
      <c r="AK253" s="256">
        <f t="shared" si="125"/>
        <v>0</v>
      </c>
      <c r="AL253" s="434">
        <f t="shared" si="126"/>
        <v>0</v>
      </c>
      <c r="AM253" s="78"/>
      <c r="AN253" s="675"/>
      <c r="AO253" s="78"/>
      <c r="AP253" s="675"/>
      <c r="AQ253" s="78"/>
      <c r="AR253" s="675"/>
      <c r="AS253" s="78"/>
      <c r="AT253" s="675"/>
      <c r="AU253" s="258">
        <f t="shared" si="127"/>
        <v>0</v>
      </c>
      <c r="AV253" s="89">
        <f t="shared" si="115"/>
        <v>0</v>
      </c>
      <c r="AW253" s="257">
        <f t="shared" si="128"/>
        <v>0</v>
      </c>
      <c r="AX253" s="79">
        <f t="shared" si="129"/>
        <v>0</v>
      </c>
      <c r="AY253" s="259">
        <f t="shared" si="130"/>
        <v>0</v>
      </c>
      <c r="AZ253" s="79">
        <f t="shared" si="131"/>
        <v>0</v>
      </c>
      <c r="BA253" s="677"/>
    </row>
    <row r="254" spans="1:53" s="93" customFormat="1">
      <c r="A254" s="500" t="s">
        <v>795</v>
      </c>
      <c r="B254" s="288" t="s">
        <v>24</v>
      </c>
      <c r="C254" s="287">
        <v>160001</v>
      </c>
      <c r="D254" s="162">
        <v>14</v>
      </c>
      <c r="E254" s="148" t="s">
        <v>393</v>
      </c>
      <c r="F254" s="488" t="s">
        <v>393</v>
      </c>
      <c r="G254" s="78"/>
      <c r="H254" s="675"/>
      <c r="I254" s="78"/>
      <c r="J254" s="675"/>
      <c r="K254" s="78"/>
      <c r="L254" s="675"/>
      <c r="M254" s="78"/>
      <c r="N254" s="675"/>
      <c r="O254" s="256">
        <f t="shared" si="116"/>
        <v>0</v>
      </c>
      <c r="P254" s="89">
        <f t="shared" si="114"/>
        <v>0</v>
      </c>
      <c r="Q254" s="257">
        <f t="shared" si="117"/>
        <v>0</v>
      </c>
      <c r="R254" s="79">
        <f t="shared" si="118"/>
        <v>0</v>
      </c>
      <c r="S254" s="78"/>
      <c r="T254" s="675"/>
      <c r="U254" s="256">
        <f t="shared" si="119"/>
        <v>0</v>
      </c>
      <c r="V254" s="434">
        <f t="shared" si="120"/>
        <v>0</v>
      </c>
      <c r="W254" s="78"/>
      <c r="X254" s="675"/>
      <c r="Y254" s="78"/>
      <c r="Z254" s="675"/>
      <c r="AA254" s="78"/>
      <c r="AB254" s="675"/>
      <c r="AC254" s="78"/>
      <c r="AD254" s="675"/>
      <c r="AE254" s="256">
        <f t="shared" si="121"/>
        <v>0</v>
      </c>
      <c r="AF254" s="89">
        <f t="shared" si="122"/>
        <v>0</v>
      </c>
      <c r="AG254" s="257">
        <f t="shared" si="123"/>
        <v>0</v>
      </c>
      <c r="AH254" s="79">
        <f t="shared" si="124"/>
        <v>0</v>
      </c>
      <c r="AI254" s="78"/>
      <c r="AJ254" s="675"/>
      <c r="AK254" s="256">
        <f t="shared" si="125"/>
        <v>0</v>
      </c>
      <c r="AL254" s="434">
        <f t="shared" si="126"/>
        <v>0</v>
      </c>
      <c r="AM254" s="78"/>
      <c r="AN254" s="675"/>
      <c r="AO254" s="78"/>
      <c r="AP254" s="675"/>
      <c r="AQ254" s="78"/>
      <c r="AR254" s="675"/>
      <c r="AS254" s="78"/>
      <c r="AT254" s="675"/>
      <c r="AU254" s="258">
        <f t="shared" si="127"/>
        <v>0</v>
      </c>
      <c r="AV254" s="89">
        <f t="shared" si="115"/>
        <v>0</v>
      </c>
      <c r="AW254" s="257">
        <f t="shared" si="128"/>
        <v>0</v>
      </c>
      <c r="AX254" s="79">
        <f t="shared" si="129"/>
        <v>0</v>
      </c>
      <c r="AY254" s="259">
        <f t="shared" si="130"/>
        <v>0</v>
      </c>
      <c r="AZ254" s="79">
        <f t="shared" si="131"/>
        <v>0</v>
      </c>
      <c r="BA254" s="677"/>
    </row>
    <row r="255" spans="1:53" s="93" customFormat="1">
      <c r="A255" s="500" t="s">
        <v>795</v>
      </c>
      <c r="B255" s="288" t="s">
        <v>25</v>
      </c>
      <c r="C255" s="287">
        <v>160010</v>
      </c>
      <c r="D255" s="162">
        <v>14</v>
      </c>
      <c r="E255" s="148" t="s">
        <v>393</v>
      </c>
      <c r="F255" s="488" t="s">
        <v>393</v>
      </c>
      <c r="G255" s="78"/>
      <c r="H255" s="675"/>
      <c r="I255" s="78"/>
      <c r="J255" s="675"/>
      <c r="K255" s="78"/>
      <c r="L255" s="675"/>
      <c r="M255" s="78"/>
      <c r="N255" s="675"/>
      <c r="O255" s="256">
        <f t="shared" si="116"/>
        <v>0</v>
      </c>
      <c r="P255" s="89">
        <f t="shared" si="114"/>
        <v>0</v>
      </c>
      <c r="Q255" s="257">
        <f t="shared" si="117"/>
        <v>0</v>
      </c>
      <c r="R255" s="79">
        <f t="shared" si="118"/>
        <v>0</v>
      </c>
      <c r="S255" s="78"/>
      <c r="T255" s="675"/>
      <c r="U255" s="256">
        <f t="shared" si="119"/>
        <v>0</v>
      </c>
      <c r="V255" s="434">
        <f t="shared" si="120"/>
        <v>0</v>
      </c>
      <c r="W255" s="78"/>
      <c r="X255" s="675"/>
      <c r="Y255" s="78"/>
      <c r="Z255" s="675"/>
      <c r="AA255" s="78"/>
      <c r="AB255" s="675"/>
      <c r="AC255" s="78"/>
      <c r="AD255" s="675"/>
      <c r="AE255" s="256">
        <f t="shared" si="121"/>
        <v>0</v>
      </c>
      <c r="AF255" s="89">
        <f t="shared" si="122"/>
        <v>0</v>
      </c>
      <c r="AG255" s="257">
        <f t="shared" si="123"/>
        <v>0</v>
      </c>
      <c r="AH255" s="79">
        <f t="shared" si="124"/>
        <v>0</v>
      </c>
      <c r="AI255" s="78"/>
      <c r="AJ255" s="675"/>
      <c r="AK255" s="256">
        <f t="shared" si="125"/>
        <v>0</v>
      </c>
      <c r="AL255" s="434">
        <f t="shared" si="126"/>
        <v>0</v>
      </c>
      <c r="AM255" s="78"/>
      <c r="AN255" s="675"/>
      <c r="AO255" s="78"/>
      <c r="AP255" s="675"/>
      <c r="AQ255" s="78"/>
      <c r="AR255" s="675"/>
      <c r="AS255" s="78"/>
      <c r="AT255" s="675"/>
      <c r="AU255" s="258">
        <f t="shared" si="127"/>
        <v>0</v>
      </c>
      <c r="AV255" s="89">
        <f t="shared" si="115"/>
        <v>0</v>
      </c>
      <c r="AW255" s="257">
        <f t="shared" si="128"/>
        <v>0</v>
      </c>
      <c r="AX255" s="79">
        <f t="shared" si="129"/>
        <v>0</v>
      </c>
      <c r="AY255" s="259">
        <f t="shared" si="130"/>
        <v>0</v>
      </c>
      <c r="AZ255" s="79">
        <f t="shared" si="131"/>
        <v>0</v>
      </c>
      <c r="BA255" s="677"/>
    </row>
    <row r="256" spans="1:53" s="93" customFormat="1">
      <c r="A256" s="500" t="s">
        <v>795</v>
      </c>
      <c r="B256" s="288" t="s">
        <v>26</v>
      </c>
      <c r="C256" s="287">
        <v>160047</v>
      </c>
      <c r="D256" s="162">
        <v>14</v>
      </c>
      <c r="E256" s="148" t="s">
        <v>393</v>
      </c>
      <c r="F256" s="488" t="s">
        <v>393</v>
      </c>
      <c r="G256" s="78"/>
      <c r="H256" s="675"/>
      <c r="I256" s="78"/>
      <c r="J256" s="675"/>
      <c r="K256" s="78"/>
      <c r="L256" s="675"/>
      <c r="M256" s="78"/>
      <c r="N256" s="675"/>
      <c r="O256" s="256">
        <f t="shared" si="116"/>
        <v>0</v>
      </c>
      <c r="P256" s="89">
        <f t="shared" si="114"/>
        <v>0</v>
      </c>
      <c r="Q256" s="257">
        <f t="shared" si="117"/>
        <v>0</v>
      </c>
      <c r="R256" s="79">
        <f t="shared" si="118"/>
        <v>0</v>
      </c>
      <c r="S256" s="78"/>
      <c r="T256" s="675"/>
      <c r="U256" s="256">
        <f t="shared" si="119"/>
        <v>0</v>
      </c>
      <c r="V256" s="434">
        <f t="shared" si="120"/>
        <v>0</v>
      </c>
      <c r="W256" s="78"/>
      <c r="X256" s="675"/>
      <c r="Y256" s="78"/>
      <c r="Z256" s="675"/>
      <c r="AA256" s="78"/>
      <c r="AB256" s="675"/>
      <c r="AC256" s="78"/>
      <c r="AD256" s="675"/>
      <c r="AE256" s="256">
        <f t="shared" si="121"/>
        <v>0</v>
      </c>
      <c r="AF256" s="89">
        <f t="shared" si="122"/>
        <v>0</v>
      </c>
      <c r="AG256" s="257">
        <f t="shared" si="123"/>
        <v>0</v>
      </c>
      <c r="AH256" s="79">
        <f t="shared" si="124"/>
        <v>0</v>
      </c>
      <c r="AI256" s="78"/>
      <c r="AJ256" s="675"/>
      <c r="AK256" s="256">
        <f t="shared" si="125"/>
        <v>0</v>
      </c>
      <c r="AL256" s="434">
        <f t="shared" si="126"/>
        <v>0</v>
      </c>
      <c r="AM256" s="78"/>
      <c r="AN256" s="675"/>
      <c r="AO256" s="78"/>
      <c r="AP256" s="675"/>
      <c r="AQ256" s="78"/>
      <c r="AR256" s="675"/>
      <c r="AS256" s="78"/>
      <c r="AT256" s="675"/>
      <c r="AU256" s="258">
        <f t="shared" si="127"/>
        <v>0</v>
      </c>
      <c r="AV256" s="89">
        <f t="shared" si="115"/>
        <v>0</v>
      </c>
      <c r="AW256" s="257">
        <f t="shared" si="128"/>
        <v>0</v>
      </c>
      <c r="AX256" s="79">
        <f t="shared" si="129"/>
        <v>0</v>
      </c>
      <c r="AY256" s="259">
        <f t="shared" si="130"/>
        <v>0</v>
      </c>
      <c r="AZ256" s="79">
        <f t="shared" si="131"/>
        <v>0</v>
      </c>
      <c r="BA256" s="677"/>
    </row>
    <row r="257" spans="1:53" s="93" customFormat="1">
      <c r="A257" s="500" t="s">
        <v>795</v>
      </c>
      <c r="B257" s="288" t="s">
        <v>27</v>
      </c>
      <c r="C257" s="287">
        <v>160311</v>
      </c>
      <c r="D257" s="162">
        <v>14</v>
      </c>
      <c r="E257" s="148" t="s">
        <v>393</v>
      </c>
      <c r="F257" s="488" t="s">
        <v>393</v>
      </c>
      <c r="G257" s="78"/>
      <c r="H257" s="675"/>
      <c r="I257" s="78"/>
      <c r="J257" s="675"/>
      <c r="K257" s="78"/>
      <c r="L257" s="675"/>
      <c r="M257" s="78"/>
      <c r="N257" s="675"/>
      <c r="O257" s="256">
        <f t="shared" si="116"/>
        <v>0</v>
      </c>
      <c r="P257" s="89">
        <f t="shared" si="114"/>
        <v>0</v>
      </c>
      <c r="Q257" s="257">
        <f t="shared" si="117"/>
        <v>0</v>
      </c>
      <c r="R257" s="79">
        <f t="shared" si="118"/>
        <v>0</v>
      </c>
      <c r="S257" s="78"/>
      <c r="T257" s="675"/>
      <c r="U257" s="256">
        <f t="shared" si="119"/>
        <v>0</v>
      </c>
      <c r="V257" s="434">
        <f t="shared" si="120"/>
        <v>0</v>
      </c>
      <c r="W257" s="78"/>
      <c r="X257" s="675"/>
      <c r="Y257" s="78"/>
      <c r="Z257" s="675"/>
      <c r="AA257" s="78"/>
      <c r="AB257" s="675"/>
      <c r="AC257" s="78"/>
      <c r="AD257" s="675"/>
      <c r="AE257" s="256">
        <f t="shared" si="121"/>
        <v>0</v>
      </c>
      <c r="AF257" s="89">
        <f t="shared" si="122"/>
        <v>0</v>
      </c>
      <c r="AG257" s="257">
        <f t="shared" si="123"/>
        <v>0</v>
      </c>
      <c r="AH257" s="79">
        <f t="shared" si="124"/>
        <v>0</v>
      </c>
      <c r="AI257" s="78"/>
      <c r="AJ257" s="675"/>
      <c r="AK257" s="256">
        <f t="shared" si="125"/>
        <v>0</v>
      </c>
      <c r="AL257" s="434">
        <f t="shared" si="126"/>
        <v>0</v>
      </c>
      <c r="AM257" s="78"/>
      <c r="AN257" s="675"/>
      <c r="AO257" s="78"/>
      <c r="AP257" s="675"/>
      <c r="AQ257" s="78"/>
      <c r="AR257" s="675"/>
      <c r="AS257" s="78"/>
      <c r="AT257" s="675"/>
      <c r="AU257" s="258">
        <f t="shared" si="127"/>
        <v>0</v>
      </c>
      <c r="AV257" s="89">
        <f t="shared" si="115"/>
        <v>0</v>
      </c>
      <c r="AW257" s="257">
        <f t="shared" si="128"/>
        <v>0</v>
      </c>
      <c r="AX257" s="79">
        <f t="shared" si="129"/>
        <v>0</v>
      </c>
      <c r="AY257" s="259">
        <f t="shared" si="130"/>
        <v>0</v>
      </c>
      <c r="AZ257" s="79">
        <f t="shared" si="131"/>
        <v>0</v>
      </c>
      <c r="BA257" s="677"/>
    </row>
    <row r="258" spans="1:53" s="93" customFormat="1">
      <c r="A258" s="500" t="s">
        <v>795</v>
      </c>
      <c r="B258" s="288" t="s">
        <v>28</v>
      </c>
      <c r="C258" s="287">
        <v>160366</v>
      </c>
      <c r="D258" s="162">
        <v>14</v>
      </c>
      <c r="E258" s="148" t="s">
        <v>393</v>
      </c>
      <c r="F258" s="488" t="s">
        <v>393</v>
      </c>
      <c r="G258" s="78"/>
      <c r="H258" s="675"/>
      <c r="I258" s="78"/>
      <c r="J258" s="675"/>
      <c r="K258" s="78"/>
      <c r="L258" s="675"/>
      <c r="M258" s="78"/>
      <c r="N258" s="675"/>
      <c r="O258" s="256">
        <f t="shared" si="116"/>
        <v>0</v>
      </c>
      <c r="P258" s="89">
        <f t="shared" si="114"/>
        <v>0</v>
      </c>
      <c r="Q258" s="257">
        <f t="shared" si="117"/>
        <v>0</v>
      </c>
      <c r="R258" s="79">
        <f t="shared" si="118"/>
        <v>0</v>
      </c>
      <c r="S258" s="78"/>
      <c r="T258" s="675"/>
      <c r="U258" s="256">
        <f t="shared" si="119"/>
        <v>0</v>
      </c>
      <c r="V258" s="434">
        <f t="shared" si="120"/>
        <v>0</v>
      </c>
      <c r="W258" s="78"/>
      <c r="X258" s="675"/>
      <c r="Y258" s="78"/>
      <c r="Z258" s="675"/>
      <c r="AA258" s="78"/>
      <c r="AB258" s="675"/>
      <c r="AC258" s="78"/>
      <c r="AD258" s="675"/>
      <c r="AE258" s="256">
        <f t="shared" si="121"/>
        <v>0</v>
      </c>
      <c r="AF258" s="89">
        <f t="shared" si="122"/>
        <v>0</v>
      </c>
      <c r="AG258" s="257">
        <f t="shared" si="123"/>
        <v>0</v>
      </c>
      <c r="AH258" s="79">
        <f t="shared" si="124"/>
        <v>0</v>
      </c>
      <c r="AI258" s="78"/>
      <c r="AJ258" s="675"/>
      <c r="AK258" s="256">
        <f t="shared" si="125"/>
        <v>0</v>
      </c>
      <c r="AL258" s="434">
        <f t="shared" si="126"/>
        <v>0</v>
      </c>
      <c r="AM258" s="78"/>
      <c r="AN258" s="675"/>
      <c r="AO258" s="78"/>
      <c r="AP258" s="675"/>
      <c r="AQ258" s="78"/>
      <c r="AR258" s="675"/>
      <c r="AS258" s="78"/>
      <c r="AT258" s="675"/>
      <c r="AU258" s="258">
        <f t="shared" si="127"/>
        <v>0</v>
      </c>
      <c r="AV258" s="89">
        <f t="shared" si="115"/>
        <v>0</v>
      </c>
      <c r="AW258" s="257">
        <f t="shared" si="128"/>
        <v>0</v>
      </c>
      <c r="AX258" s="79">
        <f t="shared" si="129"/>
        <v>0</v>
      </c>
      <c r="AY258" s="259">
        <f t="shared" si="130"/>
        <v>0</v>
      </c>
      <c r="AZ258" s="79">
        <f t="shared" si="131"/>
        <v>0</v>
      </c>
      <c r="BA258" s="677"/>
    </row>
    <row r="259" spans="1:53" s="93" customFormat="1">
      <c r="A259" s="500" t="s">
        <v>795</v>
      </c>
      <c r="B259" s="288" t="s">
        <v>29</v>
      </c>
      <c r="C259" s="287">
        <v>160384</v>
      </c>
      <c r="D259" s="162">
        <v>14</v>
      </c>
      <c r="E259" s="148" t="s">
        <v>393</v>
      </c>
      <c r="F259" s="488" t="s">
        <v>393</v>
      </c>
      <c r="G259" s="78"/>
      <c r="H259" s="675"/>
      <c r="I259" s="78"/>
      <c r="J259" s="675"/>
      <c r="K259" s="78"/>
      <c r="L259" s="675"/>
      <c r="M259" s="78"/>
      <c r="N259" s="675"/>
      <c r="O259" s="256">
        <f t="shared" si="116"/>
        <v>0</v>
      </c>
      <c r="P259" s="89">
        <f t="shared" si="114"/>
        <v>0</v>
      </c>
      <c r="Q259" s="257">
        <f t="shared" si="117"/>
        <v>0</v>
      </c>
      <c r="R259" s="79">
        <f t="shared" si="118"/>
        <v>0</v>
      </c>
      <c r="S259" s="78"/>
      <c r="T259" s="675"/>
      <c r="U259" s="256">
        <f t="shared" si="119"/>
        <v>0</v>
      </c>
      <c r="V259" s="434">
        <f t="shared" si="120"/>
        <v>0</v>
      </c>
      <c r="W259" s="78"/>
      <c r="X259" s="675"/>
      <c r="Y259" s="78"/>
      <c r="Z259" s="675"/>
      <c r="AA259" s="78"/>
      <c r="AB259" s="675"/>
      <c r="AC259" s="78"/>
      <c r="AD259" s="675"/>
      <c r="AE259" s="256">
        <f t="shared" si="121"/>
        <v>0</v>
      </c>
      <c r="AF259" s="89">
        <f t="shared" si="122"/>
        <v>0</v>
      </c>
      <c r="AG259" s="257">
        <f t="shared" si="123"/>
        <v>0</v>
      </c>
      <c r="AH259" s="79">
        <f t="shared" si="124"/>
        <v>0</v>
      </c>
      <c r="AI259" s="78"/>
      <c r="AJ259" s="675"/>
      <c r="AK259" s="256">
        <f t="shared" si="125"/>
        <v>0</v>
      </c>
      <c r="AL259" s="434">
        <f t="shared" si="126"/>
        <v>0</v>
      </c>
      <c r="AM259" s="78"/>
      <c r="AN259" s="675"/>
      <c r="AO259" s="78"/>
      <c r="AP259" s="675"/>
      <c r="AQ259" s="78"/>
      <c r="AR259" s="675"/>
      <c r="AS259" s="78"/>
      <c r="AT259" s="675"/>
      <c r="AU259" s="258">
        <f t="shared" si="127"/>
        <v>0</v>
      </c>
      <c r="AV259" s="89">
        <f t="shared" si="115"/>
        <v>0</v>
      </c>
      <c r="AW259" s="257">
        <f t="shared" si="128"/>
        <v>0</v>
      </c>
      <c r="AX259" s="79">
        <f t="shared" si="129"/>
        <v>0</v>
      </c>
      <c r="AY259" s="259">
        <f t="shared" si="130"/>
        <v>0</v>
      </c>
      <c r="AZ259" s="79">
        <f t="shared" si="131"/>
        <v>0</v>
      </c>
      <c r="BA259" s="677"/>
    </row>
    <row r="260" spans="1:53" s="93" customFormat="1">
      <c r="A260" s="500" t="s">
        <v>795</v>
      </c>
      <c r="B260" s="288" t="s">
        <v>33</v>
      </c>
      <c r="C260" s="287">
        <v>158583</v>
      </c>
      <c r="D260" s="162">
        <v>14</v>
      </c>
      <c r="E260" s="148" t="s">
        <v>393</v>
      </c>
      <c r="F260" s="488" t="s">
        <v>393</v>
      </c>
      <c r="G260" s="78"/>
      <c r="H260" s="675"/>
      <c r="I260" s="78"/>
      <c r="J260" s="675"/>
      <c r="K260" s="78"/>
      <c r="L260" s="675"/>
      <c r="M260" s="78"/>
      <c r="N260" s="675"/>
      <c r="O260" s="256">
        <f t="shared" si="116"/>
        <v>0</v>
      </c>
      <c r="P260" s="89">
        <f t="shared" si="114"/>
        <v>0</v>
      </c>
      <c r="Q260" s="257">
        <f t="shared" si="117"/>
        <v>0</v>
      </c>
      <c r="R260" s="79">
        <f t="shared" si="118"/>
        <v>0</v>
      </c>
      <c r="S260" s="78"/>
      <c r="T260" s="675"/>
      <c r="U260" s="256">
        <f t="shared" si="119"/>
        <v>0</v>
      </c>
      <c r="V260" s="434">
        <f t="shared" si="120"/>
        <v>0</v>
      </c>
      <c r="W260" s="78"/>
      <c r="X260" s="675"/>
      <c r="Y260" s="78"/>
      <c r="Z260" s="675"/>
      <c r="AA260" s="78"/>
      <c r="AB260" s="675"/>
      <c r="AC260" s="78"/>
      <c r="AD260" s="675"/>
      <c r="AE260" s="256">
        <f t="shared" si="121"/>
        <v>0</v>
      </c>
      <c r="AF260" s="89">
        <f t="shared" si="122"/>
        <v>0</v>
      </c>
      <c r="AG260" s="257">
        <f t="shared" si="123"/>
        <v>0</v>
      </c>
      <c r="AH260" s="79">
        <f t="shared" si="124"/>
        <v>0</v>
      </c>
      <c r="AI260" s="78"/>
      <c r="AJ260" s="675"/>
      <c r="AK260" s="256">
        <f t="shared" si="125"/>
        <v>0</v>
      </c>
      <c r="AL260" s="434">
        <f t="shared" si="126"/>
        <v>0</v>
      </c>
      <c r="AM260" s="78"/>
      <c r="AN260" s="675"/>
      <c r="AO260" s="78"/>
      <c r="AP260" s="675"/>
      <c r="AQ260" s="78"/>
      <c r="AR260" s="675"/>
      <c r="AS260" s="78"/>
      <c r="AT260" s="675"/>
      <c r="AU260" s="258">
        <f t="shared" si="127"/>
        <v>0</v>
      </c>
      <c r="AV260" s="89">
        <f t="shared" si="115"/>
        <v>0</v>
      </c>
      <c r="AW260" s="257">
        <f t="shared" si="128"/>
        <v>0</v>
      </c>
      <c r="AX260" s="79">
        <f t="shared" si="129"/>
        <v>0</v>
      </c>
      <c r="AY260" s="259">
        <f t="shared" si="130"/>
        <v>0</v>
      </c>
      <c r="AZ260" s="79">
        <f t="shared" si="131"/>
        <v>0</v>
      </c>
      <c r="BA260" s="677"/>
    </row>
    <row r="261" spans="1:53" s="93" customFormat="1">
      <c r="A261" s="500" t="s">
        <v>795</v>
      </c>
      <c r="B261" s="288" t="s">
        <v>34</v>
      </c>
      <c r="C261" s="287">
        <v>160427</v>
      </c>
      <c r="D261" s="162">
        <v>14</v>
      </c>
      <c r="E261" s="148" t="s">
        <v>393</v>
      </c>
      <c r="F261" s="488" t="s">
        <v>393</v>
      </c>
      <c r="G261" s="78"/>
      <c r="H261" s="675"/>
      <c r="I261" s="78"/>
      <c r="J261" s="675"/>
      <c r="K261" s="78"/>
      <c r="L261" s="675"/>
      <c r="M261" s="78"/>
      <c r="N261" s="675"/>
      <c r="O261" s="256">
        <f t="shared" si="116"/>
        <v>0</v>
      </c>
      <c r="P261" s="89">
        <f t="shared" si="114"/>
        <v>0</v>
      </c>
      <c r="Q261" s="257">
        <f t="shared" si="117"/>
        <v>0</v>
      </c>
      <c r="R261" s="79">
        <f t="shared" si="118"/>
        <v>0</v>
      </c>
      <c r="S261" s="78"/>
      <c r="T261" s="675"/>
      <c r="U261" s="256">
        <f t="shared" si="119"/>
        <v>0</v>
      </c>
      <c r="V261" s="434">
        <f t="shared" si="120"/>
        <v>0</v>
      </c>
      <c r="W261" s="78"/>
      <c r="X261" s="675"/>
      <c r="Y261" s="78"/>
      <c r="Z261" s="675"/>
      <c r="AA261" s="78"/>
      <c r="AB261" s="675"/>
      <c r="AC261" s="78"/>
      <c r="AD261" s="675"/>
      <c r="AE261" s="256">
        <f t="shared" si="121"/>
        <v>0</v>
      </c>
      <c r="AF261" s="89">
        <f t="shared" si="122"/>
        <v>0</v>
      </c>
      <c r="AG261" s="257">
        <f t="shared" si="123"/>
        <v>0</v>
      </c>
      <c r="AH261" s="79">
        <f t="shared" si="124"/>
        <v>0</v>
      </c>
      <c r="AI261" s="78"/>
      <c r="AJ261" s="675"/>
      <c r="AK261" s="256">
        <f t="shared" si="125"/>
        <v>0</v>
      </c>
      <c r="AL261" s="434">
        <f t="shared" si="126"/>
        <v>0</v>
      </c>
      <c r="AM261" s="78"/>
      <c r="AN261" s="675"/>
      <c r="AO261" s="78"/>
      <c r="AP261" s="675"/>
      <c r="AQ261" s="78"/>
      <c r="AR261" s="675"/>
      <c r="AS261" s="78"/>
      <c r="AT261" s="675"/>
      <c r="AU261" s="258">
        <f t="shared" si="127"/>
        <v>0</v>
      </c>
      <c r="AV261" s="89">
        <f t="shared" si="115"/>
        <v>0</v>
      </c>
      <c r="AW261" s="257">
        <f t="shared" si="128"/>
        <v>0</v>
      </c>
      <c r="AX261" s="79">
        <f t="shared" si="129"/>
        <v>0</v>
      </c>
      <c r="AY261" s="259">
        <f t="shared" si="130"/>
        <v>0</v>
      </c>
      <c r="AZ261" s="79">
        <f t="shared" si="131"/>
        <v>0</v>
      </c>
      <c r="BA261" s="677"/>
    </row>
    <row r="262" spans="1:53" s="93" customFormat="1">
      <c r="A262" s="500" t="s">
        <v>795</v>
      </c>
      <c r="B262" s="288" t="s">
        <v>35</v>
      </c>
      <c r="C262" s="287">
        <v>160436</v>
      </c>
      <c r="D262" s="162">
        <v>14</v>
      </c>
      <c r="E262" s="148" t="s">
        <v>393</v>
      </c>
      <c r="F262" s="488" t="s">
        <v>393</v>
      </c>
      <c r="G262" s="78"/>
      <c r="H262" s="675"/>
      <c r="I262" s="78"/>
      <c r="J262" s="675"/>
      <c r="K262" s="78"/>
      <c r="L262" s="675"/>
      <c r="M262" s="78"/>
      <c r="N262" s="675"/>
      <c r="O262" s="256">
        <f t="shared" si="116"/>
        <v>0</v>
      </c>
      <c r="P262" s="89">
        <f t="shared" si="114"/>
        <v>0</v>
      </c>
      <c r="Q262" s="257">
        <f t="shared" si="117"/>
        <v>0</v>
      </c>
      <c r="R262" s="79">
        <f t="shared" si="118"/>
        <v>0</v>
      </c>
      <c r="S262" s="78"/>
      <c r="T262" s="675"/>
      <c r="U262" s="256">
        <f t="shared" si="119"/>
        <v>0</v>
      </c>
      <c r="V262" s="434">
        <f t="shared" si="120"/>
        <v>0</v>
      </c>
      <c r="W262" s="78"/>
      <c r="X262" s="675"/>
      <c r="Y262" s="78"/>
      <c r="Z262" s="675"/>
      <c r="AA262" s="78"/>
      <c r="AB262" s="675"/>
      <c r="AC262" s="78"/>
      <c r="AD262" s="675"/>
      <c r="AE262" s="256">
        <f t="shared" si="121"/>
        <v>0</v>
      </c>
      <c r="AF262" s="89">
        <f t="shared" si="122"/>
        <v>0</v>
      </c>
      <c r="AG262" s="257">
        <f t="shared" si="123"/>
        <v>0</v>
      </c>
      <c r="AH262" s="79">
        <f t="shared" si="124"/>
        <v>0</v>
      </c>
      <c r="AI262" s="78"/>
      <c r="AJ262" s="675"/>
      <c r="AK262" s="256">
        <f t="shared" si="125"/>
        <v>0</v>
      </c>
      <c r="AL262" s="434">
        <f t="shared" si="126"/>
        <v>0</v>
      </c>
      <c r="AM262" s="78"/>
      <c r="AN262" s="675"/>
      <c r="AO262" s="78"/>
      <c r="AP262" s="675"/>
      <c r="AQ262" s="78"/>
      <c r="AR262" s="675"/>
      <c r="AS262" s="78"/>
      <c r="AT262" s="675"/>
      <c r="AU262" s="258">
        <f t="shared" si="127"/>
        <v>0</v>
      </c>
      <c r="AV262" s="89">
        <f t="shared" si="115"/>
        <v>0</v>
      </c>
      <c r="AW262" s="257">
        <f t="shared" si="128"/>
        <v>0</v>
      </c>
      <c r="AX262" s="79">
        <f t="shared" si="129"/>
        <v>0</v>
      </c>
      <c r="AY262" s="259">
        <f t="shared" si="130"/>
        <v>0</v>
      </c>
      <c r="AZ262" s="79">
        <f t="shared" si="131"/>
        <v>0</v>
      </c>
      <c r="BA262" s="677"/>
    </row>
    <row r="263" spans="1:53" s="93" customFormat="1">
      <c r="A263" s="500" t="s">
        <v>795</v>
      </c>
      <c r="B263" s="288" t="s">
        <v>36</v>
      </c>
      <c r="C263" s="287">
        <v>160454</v>
      </c>
      <c r="D263" s="162">
        <v>14</v>
      </c>
      <c r="E263" s="148" t="s">
        <v>393</v>
      </c>
      <c r="F263" s="488" t="s">
        <v>393</v>
      </c>
      <c r="G263" s="78"/>
      <c r="H263" s="675"/>
      <c r="I263" s="78"/>
      <c r="J263" s="675"/>
      <c r="K263" s="78"/>
      <c r="L263" s="675"/>
      <c r="M263" s="78"/>
      <c r="N263" s="675"/>
      <c r="O263" s="256">
        <f t="shared" si="116"/>
        <v>0</v>
      </c>
      <c r="P263" s="89">
        <f t="shared" si="114"/>
        <v>0</v>
      </c>
      <c r="Q263" s="257">
        <f t="shared" si="117"/>
        <v>0</v>
      </c>
      <c r="R263" s="79">
        <f t="shared" si="118"/>
        <v>0</v>
      </c>
      <c r="S263" s="78"/>
      <c r="T263" s="675"/>
      <c r="U263" s="256">
        <f t="shared" si="119"/>
        <v>0</v>
      </c>
      <c r="V263" s="434">
        <f t="shared" si="120"/>
        <v>0</v>
      </c>
      <c r="W263" s="78"/>
      <c r="X263" s="675"/>
      <c r="Y263" s="78"/>
      <c r="Z263" s="675"/>
      <c r="AA263" s="78"/>
      <c r="AB263" s="675"/>
      <c r="AC263" s="78"/>
      <c r="AD263" s="675"/>
      <c r="AE263" s="256">
        <f t="shared" si="121"/>
        <v>0</v>
      </c>
      <c r="AF263" s="89">
        <f t="shared" si="122"/>
        <v>0</v>
      </c>
      <c r="AG263" s="257">
        <f t="shared" si="123"/>
        <v>0</v>
      </c>
      <c r="AH263" s="79">
        <f t="shared" si="124"/>
        <v>0</v>
      </c>
      <c r="AI263" s="78"/>
      <c r="AJ263" s="675"/>
      <c r="AK263" s="256">
        <f t="shared" si="125"/>
        <v>0</v>
      </c>
      <c r="AL263" s="434">
        <f t="shared" si="126"/>
        <v>0</v>
      </c>
      <c r="AM263" s="78"/>
      <c r="AN263" s="675"/>
      <c r="AO263" s="78"/>
      <c r="AP263" s="675"/>
      <c r="AQ263" s="78"/>
      <c r="AR263" s="675"/>
      <c r="AS263" s="78"/>
      <c r="AT263" s="675"/>
      <c r="AU263" s="258">
        <f t="shared" si="127"/>
        <v>0</v>
      </c>
      <c r="AV263" s="89">
        <f t="shared" si="115"/>
        <v>0</v>
      </c>
      <c r="AW263" s="257">
        <f t="shared" si="128"/>
        <v>0</v>
      </c>
      <c r="AX263" s="79">
        <f t="shared" si="129"/>
        <v>0</v>
      </c>
      <c r="AY263" s="259">
        <f t="shared" si="130"/>
        <v>0</v>
      </c>
      <c r="AZ263" s="79">
        <f t="shared" si="131"/>
        <v>0</v>
      </c>
      <c r="BA263" s="677"/>
    </row>
    <row r="264" spans="1:53" s="93" customFormat="1">
      <c r="A264" s="500" t="s">
        <v>795</v>
      </c>
      <c r="B264" s="288" t="s">
        <v>37</v>
      </c>
      <c r="C264" s="287">
        <v>160667</v>
      </c>
      <c r="D264" s="162">
        <v>14</v>
      </c>
      <c r="E264" s="148" t="s">
        <v>393</v>
      </c>
      <c r="F264" s="488" t="s">
        <v>393</v>
      </c>
      <c r="G264" s="78"/>
      <c r="H264" s="675"/>
      <c r="I264" s="78"/>
      <c r="J264" s="675"/>
      <c r="K264" s="78"/>
      <c r="L264" s="675"/>
      <c r="M264" s="78"/>
      <c r="N264" s="675"/>
      <c r="O264" s="256">
        <f t="shared" si="116"/>
        <v>0</v>
      </c>
      <c r="P264" s="89">
        <f t="shared" si="114"/>
        <v>0</v>
      </c>
      <c r="Q264" s="257">
        <f t="shared" si="117"/>
        <v>0</v>
      </c>
      <c r="R264" s="79">
        <f t="shared" si="118"/>
        <v>0</v>
      </c>
      <c r="S264" s="78"/>
      <c r="T264" s="675"/>
      <c r="U264" s="256">
        <f t="shared" si="119"/>
        <v>0</v>
      </c>
      <c r="V264" s="434">
        <f t="shared" si="120"/>
        <v>0</v>
      </c>
      <c r="W264" s="78"/>
      <c r="X264" s="675"/>
      <c r="Y264" s="78"/>
      <c r="Z264" s="675"/>
      <c r="AA264" s="78"/>
      <c r="AB264" s="675"/>
      <c r="AC264" s="78"/>
      <c r="AD264" s="675"/>
      <c r="AE264" s="256">
        <f t="shared" si="121"/>
        <v>0</v>
      </c>
      <c r="AF264" s="89">
        <f t="shared" si="122"/>
        <v>0</v>
      </c>
      <c r="AG264" s="257">
        <f t="shared" si="123"/>
        <v>0</v>
      </c>
      <c r="AH264" s="79">
        <f t="shared" si="124"/>
        <v>0</v>
      </c>
      <c r="AI264" s="78"/>
      <c r="AJ264" s="675"/>
      <c r="AK264" s="256">
        <f t="shared" si="125"/>
        <v>0</v>
      </c>
      <c r="AL264" s="434">
        <f t="shared" si="126"/>
        <v>0</v>
      </c>
      <c r="AM264" s="78"/>
      <c r="AN264" s="675"/>
      <c r="AO264" s="78"/>
      <c r="AP264" s="675"/>
      <c r="AQ264" s="78"/>
      <c r="AR264" s="675"/>
      <c r="AS264" s="78"/>
      <c r="AT264" s="675"/>
      <c r="AU264" s="258">
        <f t="shared" si="127"/>
        <v>0</v>
      </c>
      <c r="AV264" s="89">
        <f t="shared" si="115"/>
        <v>0</v>
      </c>
      <c r="AW264" s="257">
        <f t="shared" si="128"/>
        <v>0</v>
      </c>
      <c r="AX264" s="79">
        <f t="shared" si="129"/>
        <v>0</v>
      </c>
      <c r="AY264" s="259">
        <f t="shared" si="130"/>
        <v>0</v>
      </c>
      <c r="AZ264" s="79">
        <f t="shared" si="131"/>
        <v>0</v>
      </c>
      <c r="BA264" s="677"/>
    </row>
    <row r="265" spans="1:53" s="93" customFormat="1">
      <c r="A265" s="500" t="s">
        <v>795</v>
      </c>
      <c r="B265" s="288" t="s">
        <v>38</v>
      </c>
      <c r="C265" s="287">
        <v>160676</v>
      </c>
      <c r="D265" s="162">
        <v>14</v>
      </c>
      <c r="E265" s="148" t="s">
        <v>393</v>
      </c>
      <c r="F265" s="488" t="s">
        <v>393</v>
      </c>
      <c r="G265" s="78"/>
      <c r="H265" s="675"/>
      <c r="I265" s="78"/>
      <c r="J265" s="675"/>
      <c r="K265" s="78"/>
      <c r="L265" s="675"/>
      <c r="M265" s="78"/>
      <c r="N265" s="675"/>
      <c r="O265" s="256">
        <f t="shared" si="116"/>
        <v>0</v>
      </c>
      <c r="P265" s="89">
        <f t="shared" si="114"/>
        <v>0</v>
      </c>
      <c r="Q265" s="257">
        <f t="shared" si="117"/>
        <v>0</v>
      </c>
      <c r="R265" s="79">
        <f t="shared" si="118"/>
        <v>0</v>
      </c>
      <c r="S265" s="78"/>
      <c r="T265" s="675"/>
      <c r="U265" s="256">
        <f t="shared" si="119"/>
        <v>0</v>
      </c>
      <c r="V265" s="434">
        <f t="shared" si="120"/>
        <v>0</v>
      </c>
      <c r="W265" s="78"/>
      <c r="X265" s="675"/>
      <c r="Y265" s="78"/>
      <c r="Z265" s="675"/>
      <c r="AA265" s="78"/>
      <c r="AB265" s="675"/>
      <c r="AC265" s="78"/>
      <c r="AD265" s="675"/>
      <c r="AE265" s="256">
        <f t="shared" si="121"/>
        <v>0</v>
      </c>
      <c r="AF265" s="89">
        <f t="shared" si="122"/>
        <v>0</v>
      </c>
      <c r="AG265" s="257">
        <f t="shared" si="123"/>
        <v>0</v>
      </c>
      <c r="AH265" s="79">
        <f t="shared" si="124"/>
        <v>0</v>
      </c>
      <c r="AI265" s="78"/>
      <c r="AJ265" s="675"/>
      <c r="AK265" s="256">
        <f t="shared" si="125"/>
        <v>0</v>
      </c>
      <c r="AL265" s="434">
        <f t="shared" si="126"/>
        <v>0</v>
      </c>
      <c r="AM265" s="78"/>
      <c r="AN265" s="675"/>
      <c r="AO265" s="78"/>
      <c r="AP265" s="675"/>
      <c r="AQ265" s="78"/>
      <c r="AR265" s="675"/>
      <c r="AS265" s="78"/>
      <c r="AT265" s="675"/>
      <c r="AU265" s="258">
        <f t="shared" si="127"/>
        <v>0</v>
      </c>
      <c r="AV265" s="89">
        <f t="shared" si="115"/>
        <v>0</v>
      </c>
      <c r="AW265" s="257">
        <f t="shared" si="128"/>
        <v>0</v>
      </c>
      <c r="AX265" s="79">
        <f t="shared" si="129"/>
        <v>0</v>
      </c>
      <c r="AY265" s="259">
        <f t="shared" si="130"/>
        <v>0</v>
      </c>
      <c r="AZ265" s="79">
        <f t="shared" si="131"/>
        <v>0</v>
      </c>
      <c r="BA265" s="677"/>
    </row>
    <row r="266" spans="1:53" s="93" customFormat="1">
      <c r="A266" s="500" t="s">
        <v>795</v>
      </c>
      <c r="B266" s="288" t="s">
        <v>39</v>
      </c>
      <c r="C266" s="287">
        <v>160685</v>
      </c>
      <c r="D266" s="162">
        <v>14</v>
      </c>
      <c r="E266" s="148" t="s">
        <v>393</v>
      </c>
      <c r="F266" s="488" t="s">
        <v>393</v>
      </c>
      <c r="G266" s="78"/>
      <c r="H266" s="675"/>
      <c r="I266" s="78"/>
      <c r="J266" s="675"/>
      <c r="K266" s="78"/>
      <c r="L266" s="675"/>
      <c r="M266" s="78"/>
      <c r="N266" s="675"/>
      <c r="O266" s="256">
        <f t="shared" si="116"/>
        <v>0</v>
      </c>
      <c r="P266" s="89">
        <f t="shared" si="114"/>
        <v>0</v>
      </c>
      <c r="Q266" s="257">
        <f t="shared" si="117"/>
        <v>0</v>
      </c>
      <c r="R266" s="79">
        <f t="shared" si="118"/>
        <v>0</v>
      </c>
      <c r="S266" s="78"/>
      <c r="T266" s="675"/>
      <c r="U266" s="256">
        <f t="shared" si="119"/>
        <v>0</v>
      </c>
      <c r="V266" s="434">
        <f t="shared" si="120"/>
        <v>0</v>
      </c>
      <c r="W266" s="78"/>
      <c r="X266" s="675"/>
      <c r="Y266" s="78"/>
      <c r="Z266" s="675"/>
      <c r="AA266" s="78"/>
      <c r="AB266" s="675"/>
      <c r="AC266" s="78"/>
      <c r="AD266" s="675"/>
      <c r="AE266" s="256">
        <f t="shared" si="121"/>
        <v>0</v>
      </c>
      <c r="AF266" s="89">
        <f t="shared" si="122"/>
        <v>0</v>
      </c>
      <c r="AG266" s="257">
        <f t="shared" si="123"/>
        <v>0</v>
      </c>
      <c r="AH266" s="79">
        <f t="shared" si="124"/>
        <v>0</v>
      </c>
      <c r="AI266" s="78"/>
      <c r="AJ266" s="675"/>
      <c r="AK266" s="256">
        <f t="shared" si="125"/>
        <v>0</v>
      </c>
      <c r="AL266" s="434">
        <f t="shared" si="126"/>
        <v>0</v>
      </c>
      <c r="AM266" s="78"/>
      <c r="AN266" s="675"/>
      <c r="AO266" s="78"/>
      <c r="AP266" s="675"/>
      <c r="AQ266" s="78"/>
      <c r="AR266" s="675"/>
      <c r="AS266" s="78"/>
      <c r="AT266" s="675"/>
      <c r="AU266" s="258">
        <f t="shared" si="127"/>
        <v>0</v>
      </c>
      <c r="AV266" s="89">
        <f t="shared" si="115"/>
        <v>0</v>
      </c>
      <c r="AW266" s="257">
        <f t="shared" si="128"/>
        <v>0</v>
      </c>
      <c r="AX266" s="79">
        <f t="shared" si="129"/>
        <v>0</v>
      </c>
      <c r="AY266" s="259">
        <f t="shared" si="130"/>
        <v>0</v>
      </c>
      <c r="AZ266" s="79">
        <f t="shared" si="131"/>
        <v>0</v>
      </c>
      <c r="BA266" s="677"/>
    </row>
    <row r="267" spans="1:53" s="93" customFormat="1">
      <c r="A267" s="500" t="s">
        <v>795</v>
      </c>
      <c r="B267" s="288" t="s">
        <v>40</v>
      </c>
      <c r="C267" s="287">
        <v>160694</v>
      </c>
      <c r="D267" s="162">
        <v>14</v>
      </c>
      <c r="E267" s="148" t="s">
        <v>393</v>
      </c>
      <c r="F267" s="488" t="s">
        <v>393</v>
      </c>
      <c r="G267" s="679"/>
      <c r="H267" s="678"/>
      <c r="I267" s="679"/>
      <c r="J267" s="678"/>
      <c r="K267" s="679"/>
      <c r="L267" s="678"/>
      <c r="M267" s="679"/>
      <c r="N267" s="678"/>
      <c r="O267" s="694">
        <f t="shared" si="116"/>
        <v>0</v>
      </c>
      <c r="P267" s="695">
        <f t="shared" si="114"/>
        <v>0</v>
      </c>
      <c r="Q267" s="696">
        <f t="shared" si="117"/>
        <v>0</v>
      </c>
      <c r="R267" s="697">
        <f t="shared" si="118"/>
        <v>0</v>
      </c>
      <c r="S267" s="679"/>
      <c r="T267" s="678"/>
      <c r="U267" s="694">
        <f t="shared" si="119"/>
        <v>0</v>
      </c>
      <c r="V267" s="698">
        <f t="shared" si="120"/>
        <v>0</v>
      </c>
      <c r="W267" s="679"/>
      <c r="X267" s="678"/>
      <c r="Y267" s="679"/>
      <c r="Z267" s="678"/>
      <c r="AA267" s="679"/>
      <c r="AB267" s="678"/>
      <c r="AC267" s="679"/>
      <c r="AD267" s="678"/>
      <c r="AE267" s="694">
        <f t="shared" si="121"/>
        <v>0</v>
      </c>
      <c r="AF267" s="695">
        <f t="shared" si="122"/>
        <v>0</v>
      </c>
      <c r="AG267" s="696">
        <f t="shared" si="123"/>
        <v>0</v>
      </c>
      <c r="AH267" s="697">
        <f t="shared" si="124"/>
        <v>0</v>
      </c>
      <c r="AI267" s="679"/>
      <c r="AJ267" s="678"/>
      <c r="AK267" s="694">
        <f t="shared" si="125"/>
        <v>0</v>
      </c>
      <c r="AL267" s="698">
        <f t="shared" si="126"/>
        <v>0</v>
      </c>
      <c r="AM267" s="679"/>
      <c r="AN267" s="678"/>
      <c r="AO267" s="679"/>
      <c r="AP267" s="678"/>
      <c r="AQ267" s="679"/>
      <c r="AR267" s="678"/>
      <c r="AS267" s="679"/>
      <c r="AT267" s="678"/>
      <c r="AU267" s="699">
        <f t="shared" si="127"/>
        <v>0</v>
      </c>
      <c r="AV267" s="695">
        <f t="shared" si="115"/>
        <v>0</v>
      </c>
      <c r="AW267" s="696">
        <f t="shared" si="128"/>
        <v>0</v>
      </c>
      <c r="AX267" s="697">
        <f t="shared" si="129"/>
        <v>0</v>
      </c>
      <c r="AY267" s="700">
        <f t="shared" si="130"/>
        <v>0</v>
      </c>
      <c r="AZ267" s="697">
        <f t="shared" si="131"/>
        <v>0</v>
      </c>
      <c r="BA267" s="677"/>
    </row>
    <row r="268" spans="1:53" s="93" customFormat="1">
      <c r="A268" s="500" t="s">
        <v>795</v>
      </c>
      <c r="B268" s="288" t="s">
        <v>41</v>
      </c>
      <c r="C268" s="287">
        <v>159267</v>
      </c>
      <c r="D268" s="162">
        <v>14</v>
      </c>
      <c r="E268" s="148" t="s">
        <v>393</v>
      </c>
      <c r="F268" s="488" t="s">
        <v>393</v>
      </c>
      <c r="G268" s="679"/>
      <c r="H268" s="678"/>
      <c r="I268" s="679"/>
      <c r="J268" s="678"/>
      <c r="K268" s="679"/>
      <c r="L268" s="678"/>
      <c r="M268" s="679"/>
      <c r="N268" s="678"/>
      <c r="O268" s="694">
        <f t="shared" si="116"/>
        <v>0</v>
      </c>
      <c r="P268" s="695">
        <f t="shared" si="114"/>
        <v>0</v>
      </c>
      <c r="Q268" s="696">
        <f t="shared" si="117"/>
        <v>0</v>
      </c>
      <c r="R268" s="697">
        <f t="shared" si="118"/>
        <v>0</v>
      </c>
      <c r="S268" s="679"/>
      <c r="T268" s="678"/>
      <c r="U268" s="694">
        <f t="shared" si="119"/>
        <v>0</v>
      </c>
      <c r="V268" s="698">
        <f t="shared" si="120"/>
        <v>0</v>
      </c>
      <c r="W268" s="679"/>
      <c r="X268" s="678"/>
      <c r="Y268" s="679"/>
      <c r="Z268" s="678"/>
      <c r="AA268" s="679"/>
      <c r="AB268" s="678"/>
      <c r="AC268" s="679"/>
      <c r="AD268" s="678"/>
      <c r="AE268" s="694">
        <f t="shared" si="121"/>
        <v>0</v>
      </c>
      <c r="AF268" s="695">
        <f t="shared" si="122"/>
        <v>0</v>
      </c>
      <c r="AG268" s="696">
        <f t="shared" si="123"/>
        <v>0</v>
      </c>
      <c r="AH268" s="697">
        <f t="shared" si="124"/>
        <v>0</v>
      </c>
      <c r="AI268" s="679"/>
      <c r="AJ268" s="678"/>
      <c r="AK268" s="694">
        <f t="shared" si="125"/>
        <v>0</v>
      </c>
      <c r="AL268" s="698">
        <f t="shared" si="126"/>
        <v>0</v>
      </c>
      <c r="AM268" s="679"/>
      <c r="AN268" s="678"/>
      <c r="AO268" s="679"/>
      <c r="AP268" s="678"/>
      <c r="AQ268" s="679"/>
      <c r="AR268" s="678"/>
      <c r="AS268" s="679"/>
      <c r="AT268" s="678"/>
      <c r="AU268" s="699">
        <f t="shared" si="127"/>
        <v>0</v>
      </c>
      <c r="AV268" s="695">
        <f t="shared" si="115"/>
        <v>0</v>
      </c>
      <c r="AW268" s="696">
        <f t="shared" si="128"/>
        <v>0</v>
      </c>
      <c r="AX268" s="697">
        <f t="shared" si="129"/>
        <v>0</v>
      </c>
      <c r="AY268" s="700">
        <f t="shared" si="130"/>
        <v>0</v>
      </c>
      <c r="AZ268" s="697">
        <f t="shared" si="131"/>
        <v>0</v>
      </c>
      <c r="BA268" s="677"/>
    </row>
    <row r="269" spans="1:53" s="93" customFormat="1">
      <c r="A269" s="500" t="s">
        <v>795</v>
      </c>
      <c r="B269" s="288" t="s">
        <v>42</v>
      </c>
      <c r="C269" s="287">
        <v>160870</v>
      </c>
      <c r="D269" s="162">
        <v>14</v>
      </c>
      <c r="E269" s="148" t="s">
        <v>393</v>
      </c>
      <c r="F269" s="488" t="s">
        <v>393</v>
      </c>
      <c r="G269" s="679"/>
      <c r="H269" s="678"/>
      <c r="I269" s="679"/>
      <c r="J269" s="678"/>
      <c r="K269" s="679"/>
      <c r="L269" s="678"/>
      <c r="M269" s="679"/>
      <c r="N269" s="678"/>
      <c r="O269" s="694">
        <f t="shared" si="116"/>
        <v>0</v>
      </c>
      <c r="P269" s="695">
        <f t="shared" si="114"/>
        <v>0</v>
      </c>
      <c r="Q269" s="696">
        <f t="shared" si="117"/>
        <v>0</v>
      </c>
      <c r="R269" s="697">
        <f t="shared" si="118"/>
        <v>0</v>
      </c>
      <c r="S269" s="679"/>
      <c r="T269" s="678"/>
      <c r="U269" s="694">
        <f t="shared" si="119"/>
        <v>0</v>
      </c>
      <c r="V269" s="698">
        <f t="shared" si="120"/>
        <v>0</v>
      </c>
      <c r="W269" s="679"/>
      <c r="X269" s="678"/>
      <c r="Y269" s="679"/>
      <c r="Z269" s="678"/>
      <c r="AA269" s="679"/>
      <c r="AB269" s="678"/>
      <c r="AC269" s="679"/>
      <c r="AD269" s="678"/>
      <c r="AE269" s="694">
        <f t="shared" si="121"/>
        <v>0</v>
      </c>
      <c r="AF269" s="695">
        <f t="shared" si="122"/>
        <v>0</v>
      </c>
      <c r="AG269" s="696">
        <f t="shared" si="123"/>
        <v>0</v>
      </c>
      <c r="AH269" s="697">
        <f t="shared" si="124"/>
        <v>0</v>
      </c>
      <c r="AI269" s="679"/>
      <c r="AJ269" s="678"/>
      <c r="AK269" s="694">
        <f t="shared" si="125"/>
        <v>0</v>
      </c>
      <c r="AL269" s="698">
        <f t="shared" si="126"/>
        <v>0</v>
      </c>
      <c r="AM269" s="679"/>
      <c r="AN269" s="678"/>
      <c r="AO269" s="679"/>
      <c r="AP269" s="678"/>
      <c r="AQ269" s="679"/>
      <c r="AR269" s="678"/>
      <c r="AS269" s="679"/>
      <c r="AT269" s="678"/>
      <c r="AU269" s="699">
        <f t="shared" si="127"/>
        <v>0</v>
      </c>
      <c r="AV269" s="695">
        <f t="shared" si="115"/>
        <v>0</v>
      </c>
      <c r="AW269" s="696">
        <f t="shared" si="128"/>
        <v>0</v>
      </c>
      <c r="AX269" s="697">
        <f t="shared" si="129"/>
        <v>0</v>
      </c>
      <c r="AY269" s="700">
        <f t="shared" si="130"/>
        <v>0</v>
      </c>
      <c r="AZ269" s="697">
        <f t="shared" si="131"/>
        <v>0</v>
      </c>
      <c r="BA269" s="677"/>
    </row>
    <row r="270" spans="1:53" s="93" customFormat="1">
      <c r="A270" s="500" t="s">
        <v>795</v>
      </c>
      <c r="B270" s="288" t="s">
        <v>46</v>
      </c>
      <c r="C270" s="287">
        <v>160913</v>
      </c>
      <c r="D270" s="162">
        <v>14</v>
      </c>
      <c r="E270" s="148" t="s">
        <v>393</v>
      </c>
      <c r="F270" s="488" t="s">
        <v>393</v>
      </c>
      <c r="G270" s="679"/>
      <c r="H270" s="678"/>
      <c r="I270" s="679"/>
      <c r="J270" s="678"/>
      <c r="K270" s="679"/>
      <c r="L270" s="678"/>
      <c r="M270" s="679"/>
      <c r="N270" s="678"/>
      <c r="O270" s="694">
        <f t="shared" si="116"/>
        <v>0</v>
      </c>
      <c r="P270" s="695">
        <f t="shared" si="114"/>
        <v>0</v>
      </c>
      <c r="Q270" s="696">
        <f t="shared" si="117"/>
        <v>0</v>
      </c>
      <c r="R270" s="697">
        <f t="shared" si="118"/>
        <v>0</v>
      </c>
      <c r="S270" s="679"/>
      <c r="T270" s="678"/>
      <c r="U270" s="694">
        <f t="shared" si="119"/>
        <v>0</v>
      </c>
      <c r="V270" s="698">
        <f t="shared" si="120"/>
        <v>0</v>
      </c>
      <c r="W270" s="679"/>
      <c r="X270" s="678"/>
      <c r="Y270" s="679"/>
      <c r="Z270" s="678"/>
      <c r="AA270" s="679"/>
      <c r="AB270" s="678"/>
      <c r="AC270" s="679"/>
      <c r="AD270" s="678"/>
      <c r="AE270" s="694">
        <f t="shared" si="121"/>
        <v>0</v>
      </c>
      <c r="AF270" s="695">
        <f t="shared" si="122"/>
        <v>0</v>
      </c>
      <c r="AG270" s="696">
        <f t="shared" si="123"/>
        <v>0</v>
      </c>
      <c r="AH270" s="697">
        <f t="shared" si="124"/>
        <v>0</v>
      </c>
      <c r="AI270" s="679"/>
      <c r="AJ270" s="678"/>
      <c r="AK270" s="694">
        <f t="shared" si="125"/>
        <v>0</v>
      </c>
      <c r="AL270" s="698">
        <f t="shared" si="126"/>
        <v>0</v>
      </c>
      <c r="AM270" s="679"/>
      <c r="AN270" s="678"/>
      <c r="AO270" s="679"/>
      <c r="AP270" s="678"/>
      <c r="AQ270" s="679"/>
      <c r="AR270" s="678"/>
      <c r="AS270" s="679"/>
      <c r="AT270" s="678"/>
      <c r="AU270" s="699">
        <f t="shared" si="127"/>
        <v>0</v>
      </c>
      <c r="AV270" s="695">
        <f t="shared" si="115"/>
        <v>0</v>
      </c>
      <c r="AW270" s="696">
        <f t="shared" si="128"/>
        <v>0</v>
      </c>
      <c r="AX270" s="697">
        <f t="shared" si="129"/>
        <v>0</v>
      </c>
      <c r="AY270" s="700">
        <f t="shared" si="130"/>
        <v>0</v>
      </c>
      <c r="AZ270" s="697">
        <f t="shared" si="131"/>
        <v>0</v>
      </c>
      <c r="BA270" s="677"/>
    </row>
    <row r="271" spans="1:53" s="93" customFormat="1">
      <c r="A271" s="514" t="s">
        <v>173</v>
      </c>
      <c r="B271" s="296" t="s">
        <v>174</v>
      </c>
      <c r="C271" s="289">
        <v>163286</v>
      </c>
      <c r="D271" s="299">
        <v>1</v>
      </c>
      <c r="E271" s="148" t="s">
        <v>393</v>
      </c>
      <c r="F271" s="149" t="s">
        <v>393</v>
      </c>
      <c r="G271" s="679">
        <v>12191</v>
      </c>
      <c r="H271" s="678">
        <v>12990</v>
      </c>
      <c r="I271" s="679">
        <v>355682</v>
      </c>
      <c r="J271" s="678">
        <v>359337</v>
      </c>
      <c r="K271" s="679">
        <v>39224</v>
      </c>
      <c r="L271" s="678">
        <v>41691</v>
      </c>
      <c r="M271" s="679">
        <v>371990</v>
      </c>
      <c r="N271" s="678">
        <v>377515.5</v>
      </c>
      <c r="O271" s="694">
        <f t="shared" si="116"/>
        <v>779087</v>
      </c>
      <c r="P271" s="695">
        <f t="shared" ref="P271:P334" si="132">+O271/30</f>
        <v>25969.566666666666</v>
      </c>
      <c r="Q271" s="696">
        <f t="shared" si="117"/>
        <v>791533.5</v>
      </c>
      <c r="R271" s="697">
        <f t="shared" si="118"/>
        <v>26384.45</v>
      </c>
      <c r="S271" s="679"/>
      <c r="T271" s="678"/>
      <c r="U271" s="694">
        <f t="shared" si="119"/>
        <v>0</v>
      </c>
      <c r="V271" s="698">
        <f t="shared" si="120"/>
        <v>0</v>
      </c>
      <c r="W271" s="679"/>
      <c r="X271" s="678"/>
      <c r="Y271" s="679"/>
      <c r="Z271" s="678"/>
      <c r="AA271" s="679"/>
      <c r="AB271" s="678"/>
      <c r="AC271" s="679"/>
      <c r="AD271" s="678"/>
      <c r="AE271" s="694">
        <f t="shared" si="121"/>
        <v>0</v>
      </c>
      <c r="AF271" s="695">
        <f t="shared" si="122"/>
        <v>0</v>
      </c>
      <c r="AG271" s="696">
        <f t="shared" si="123"/>
        <v>0</v>
      </c>
      <c r="AH271" s="697">
        <f t="shared" si="124"/>
        <v>0</v>
      </c>
      <c r="AI271" s="679"/>
      <c r="AJ271" s="678"/>
      <c r="AK271" s="694">
        <f t="shared" si="125"/>
        <v>0</v>
      </c>
      <c r="AL271" s="698">
        <f t="shared" si="126"/>
        <v>0</v>
      </c>
      <c r="AM271" s="679">
        <v>2087</v>
      </c>
      <c r="AN271" s="678">
        <v>2333</v>
      </c>
      <c r="AO271" s="679">
        <v>65014</v>
      </c>
      <c r="AP271" s="678">
        <v>65949.34</v>
      </c>
      <c r="AQ271" s="679">
        <v>10803</v>
      </c>
      <c r="AR271" s="678">
        <v>13402.5</v>
      </c>
      <c r="AS271" s="679">
        <v>71536</v>
      </c>
      <c r="AT271" s="678">
        <v>73189.84</v>
      </c>
      <c r="AU271" s="699">
        <f t="shared" si="127"/>
        <v>149440</v>
      </c>
      <c r="AV271" s="695">
        <f t="shared" ref="AV271:AV349" si="133">+AU271/24</f>
        <v>6226.666666666667</v>
      </c>
      <c r="AW271" s="696">
        <f t="shared" si="128"/>
        <v>154874.68</v>
      </c>
      <c r="AX271" s="697">
        <f t="shared" si="129"/>
        <v>6453.1116666666667</v>
      </c>
      <c r="AY271" s="700">
        <f t="shared" si="130"/>
        <v>32196.233333333334</v>
      </c>
      <c r="AZ271" s="697">
        <f t="shared" si="131"/>
        <v>32837.561666666668</v>
      </c>
      <c r="BA271" s="677"/>
    </row>
    <row r="272" spans="1:53" s="93" customFormat="1">
      <c r="A272" s="514" t="s">
        <v>173</v>
      </c>
      <c r="B272" s="296" t="s">
        <v>175</v>
      </c>
      <c r="C272" s="289">
        <v>163268</v>
      </c>
      <c r="D272" s="299">
        <v>2</v>
      </c>
      <c r="E272" s="148" t="s">
        <v>393</v>
      </c>
      <c r="F272" s="149" t="s">
        <v>393</v>
      </c>
      <c r="G272" s="679">
        <v>5131</v>
      </c>
      <c r="H272" s="678">
        <v>4695</v>
      </c>
      <c r="I272" s="679">
        <v>119669</v>
      </c>
      <c r="J272" s="678">
        <v>123921.5</v>
      </c>
      <c r="K272" s="679">
        <v>15657</v>
      </c>
      <c r="L272" s="678">
        <v>15551</v>
      </c>
      <c r="M272" s="679">
        <v>131840</v>
      </c>
      <c r="N272" s="678">
        <v>136196.5</v>
      </c>
      <c r="O272" s="694">
        <f t="shared" si="116"/>
        <v>272297</v>
      </c>
      <c r="P272" s="695">
        <f t="shared" si="132"/>
        <v>9076.5666666666675</v>
      </c>
      <c r="Q272" s="696">
        <f t="shared" si="117"/>
        <v>280364</v>
      </c>
      <c r="R272" s="697">
        <f t="shared" si="118"/>
        <v>9345.4666666666672</v>
      </c>
      <c r="S272" s="679"/>
      <c r="T272" s="678"/>
      <c r="U272" s="694">
        <f t="shared" si="119"/>
        <v>0</v>
      </c>
      <c r="V272" s="698">
        <f t="shared" si="120"/>
        <v>0</v>
      </c>
      <c r="W272" s="679"/>
      <c r="X272" s="678"/>
      <c r="Y272" s="679"/>
      <c r="Z272" s="678"/>
      <c r="AA272" s="679"/>
      <c r="AB272" s="678"/>
      <c r="AC272" s="679"/>
      <c r="AD272" s="678"/>
      <c r="AE272" s="694">
        <f t="shared" si="121"/>
        <v>0</v>
      </c>
      <c r="AF272" s="695">
        <f t="shared" si="122"/>
        <v>0</v>
      </c>
      <c r="AG272" s="696">
        <f t="shared" si="123"/>
        <v>0</v>
      </c>
      <c r="AH272" s="697">
        <f t="shared" si="124"/>
        <v>0</v>
      </c>
      <c r="AI272" s="679"/>
      <c r="AJ272" s="678"/>
      <c r="AK272" s="694">
        <f t="shared" si="125"/>
        <v>0</v>
      </c>
      <c r="AL272" s="698">
        <f t="shared" si="126"/>
        <v>0</v>
      </c>
      <c r="AM272" s="701">
        <v>222</v>
      </c>
      <c r="AN272" s="702">
        <v>77</v>
      </c>
      <c r="AO272" s="701">
        <v>12275</v>
      </c>
      <c r="AP272" s="702">
        <v>12697</v>
      </c>
      <c r="AQ272" s="701">
        <v>2307</v>
      </c>
      <c r="AR272" s="702">
        <v>2947</v>
      </c>
      <c r="AS272" s="701">
        <v>13983</v>
      </c>
      <c r="AT272" s="702">
        <v>15391</v>
      </c>
      <c r="AU272" s="699">
        <f t="shared" si="127"/>
        <v>28787</v>
      </c>
      <c r="AV272" s="695">
        <f t="shared" si="133"/>
        <v>1199.4583333333333</v>
      </c>
      <c r="AW272" s="696">
        <f t="shared" si="128"/>
        <v>31112</v>
      </c>
      <c r="AX272" s="697">
        <f t="shared" si="129"/>
        <v>1296.3333333333333</v>
      </c>
      <c r="AY272" s="700">
        <f t="shared" si="130"/>
        <v>10276.025000000001</v>
      </c>
      <c r="AZ272" s="697">
        <f t="shared" si="131"/>
        <v>10641.800000000001</v>
      </c>
      <c r="BA272" s="677"/>
    </row>
    <row r="273" spans="1:53" s="93" customFormat="1">
      <c r="A273" s="514" t="s">
        <v>173</v>
      </c>
      <c r="B273" s="296" t="s">
        <v>179</v>
      </c>
      <c r="C273" s="289">
        <v>163453</v>
      </c>
      <c r="D273" s="299">
        <v>3</v>
      </c>
      <c r="E273" s="148" t="s">
        <v>393</v>
      </c>
      <c r="F273" s="149" t="s">
        <v>393</v>
      </c>
      <c r="G273" s="679">
        <v>729</v>
      </c>
      <c r="H273" s="678">
        <v>487</v>
      </c>
      <c r="I273" s="679">
        <v>76967</v>
      </c>
      <c r="J273" s="678">
        <v>79508</v>
      </c>
      <c r="K273" s="679">
        <v>3609</v>
      </c>
      <c r="L273" s="678">
        <v>2314</v>
      </c>
      <c r="M273" s="679">
        <v>82732</v>
      </c>
      <c r="N273" s="678">
        <v>85010</v>
      </c>
      <c r="O273" s="694">
        <f t="shared" si="116"/>
        <v>164037</v>
      </c>
      <c r="P273" s="695">
        <f t="shared" si="132"/>
        <v>5467.9</v>
      </c>
      <c r="Q273" s="696">
        <f t="shared" si="117"/>
        <v>167319</v>
      </c>
      <c r="R273" s="697">
        <f t="shared" si="118"/>
        <v>5577.3</v>
      </c>
      <c r="S273" s="679"/>
      <c r="T273" s="678"/>
      <c r="U273" s="694">
        <f t="shared" si="119"/>
        <v>0</v>
      </c>
      <c r="V273" s="698">
        <f t="shared" si="120"/>
        <v>0</v>
      </c>
      <c r="W273" s="679"/>
      <c r="X273" s="678"/>
      <c r="Y273" s="679"/>
      <c r="Z273" s="678"/>
      <c r="AA273" s="679"/>
      <c r="AB273" s="678"/>
      <c r="AC273" s="679"/>
      <c r="AD273" s="678"/>
      <c r="AE273" s="694">
        <f t="shared" si="121"/>
        <v>0</v>
      </c>
      <c r="AF273" s="695">
        <f t="shared" si="122"/>
        <v>0</v>
      </c>
      <c r="AG273" s="696">
        <f t="shared" si="123"/>
        <v>0</v>
      </c>
      <c r="AH273" s="697">
        <f t="shared" si="124"/>
        <v>0</v>
      </c>
      <c r="AI273" s="679"/>
      <c r="AJ273" s="678"/>
      <c r="AK273" s="694">
        <f t="shared" si="125"/>
        <v>0</v>
      </c>
      <c r="AL273" s="698">
        <f t="shared" si="126"/>
        <v>0</v>
      </c>
      <c r="AM273" s="679">
        <v>0</v>
      </c>
      <c r="AN273" s="678">
        <v>0</v>
      </c>
      <c r="AO273" s="679">
        <v>6588</v>
      </c>
      <c r="AP273" s="678">
        <v>6943</v>
      </c>
      <c r="AQ273" s="679">
        <v>439</v>
      </c>
      <c r="AR273" s="678">
        <v>399</v>
      </c>
      <c r="AS273" s="679">
        <v>6737</v>
      </c>
      <c r="AT273" s="678">
        <v>7931</v>
      </c>
      <c r="AU273" s="699">
        <f t="shared" si="127"/>
        <v>13764</v>
      </c>
      <c r="AV273" s="695">
        <f t="shared" si="133"/>
        <v>573.5</v>
      </c>
      <c r="AW273" s="696">
        <f t="shared" si="128"/>
        <v>15273</v>
      </c>
      <c r="AX273" s="697">
        <f t="shared" si="129"/>
        <v>636.375</v>
      </c>
      <c r="AY273" s="700">
        <f t="shared" si="130"/>
        <v>6041.4</v>
      </c>
      <c r="AZ273" s="697">
        <f t="shared" si="131"/>
        <v>6213.6750000000002</v>
      </c>
      <c r="BA273" s="677"/>
    </row>
    <row r="274" spans="1:53" s="93" customFormat="1">
      <c r="A274" s="514" t="s">
        <v>173</v>
      </c>
      <c r="B274" s="296" t="s">
        <v>176</v>
      </c>
      <c r="C274" s="289">
        <v>164076</v>
      </c>
      <c r="D274" s="299">
        <v>3</v>
      </c>
      <c r="E274" s="148" t="s">
        <v>393</v>
      </c>
      <c r="F274" s="149" t="s">
        <v>393</v>
      </c>
      <c r="G274" s="679">
        <v>6050</v>
      </c>
      <c r="H274" s="678">
        <v>6677</v>
      </c>
      <c r="I274" s="679">
        <v>208688</v>
      </c>
      <c r="J274" s="678">
        <v>227357</v>
      </c>
      <c r="K274" s="679">
        <v>21338</v>
      </c>
      <c r="L274" s="678">
        <v>24793</v>
      </c>
      <c r="M274" s="679">
        <v>236613</v>
      </c>
      <c r="N274" s="678">
        <v>239803</v>
      </c>
      <c r="O274" s="694">
        <f t="shared" si="116"/>
        <v>472689</v>
      </c>
      <c r="P274" s="695">
        <f t="shared" si="132"/>
        <v>15756.3</v>
      </c>
      <c r="Q274" s="696">
        <f t="shared" si="117"/>
        <v>498630</v>
      </c>
      <c r="R274" s="697">
        <f t="shared" si="118"/>
        <v>16621</v>
      </c>
      <c r="S274" s="679"/>
      <c r="T274" s="678"/>
      <c r="U274" s="694">
        <f t="shared" si="119"/>
        <v>0</v>
      </c>
      <c r="V274" s="698">
        <f t="shared" si="120"/>
        <v>0</v>
      </c>
      <c r="W274" s="679"/>
      <c r="X274" s="678"/>
      <c r="Y274" s="679"/>
      <c r="Z274" s="678"/>
      <c r="AA274" s="679"/>
      <c r="AB274" s="678"/>
      <c r="AC274" s="679"/>
      <c r="AD274" s="678"/>
      <c r="AE274" s="694">
        <f t="shared" si="121"/>
        <v>0</v>
      </c>
      <c r="AF274" s="695">
        <f t="shared" si="122"/>
        <v>0</v>
      </c>
      <c r="AG274" s="696">
        <f t="shared" si="123"/>
        <v>0</v>
      </c>
      <c r="AH274" s="697">
        <f t="shared" si="124"/>
        <v>0</v>
      </c>
      <c r="AI274" s="679"/>
      <c r="AJ274" s="678"/>
      <c r="AK274" s="694">
        <f t="shared" si="125"/>
        <v>0</v>
      </c>
      <c r="AL274" s="698">
        <f t="shared" si="126"/>
        <v>0</v>
      </c>
      <c r="AM274" s="679">
        <v>1067</v>
      </c>
      <c r="AN274" s="678">
        <v>1161</v>
      </c>
      <c r="AO274" s="679">
        <v>21364</v>
      </c>
      <c r="AP274" s="678">
        <v>19755</v>
      </c>
      <c r="AQ274" s="679">
        <v>10289</v>
      </c>
      <c r="AR274" s="678">
        <v>9185</v>
      </c>
      <c r="AS274" s="679">
        <v>23120</v>
      </c>
      <c r="AT274" s="678">
        <v>23274</v>
      </c>
      <c r="AU274" s="699">
        <f t="shared" si="127"/>
        <v>55840</v>
      </c>
      <c r="AV274" s="695">
        <f t="shared" si="133"/>
        <v>2326.6666666666665</v>
      </c>
      <c r="AW274" s="696">
        <f t="shared" si="128"/>
        <v>53375</v>
      </c>
      <c r="AX274" s="697">
        <f t="shared" si="129"/>
        <v>2223.9583333333335</v>
      </c>
      <c r="AY274" s="700">
        <f t="shared" si="130"/>
        <v>18082.966666666667</v>
      </c>
      <c r="AZ274" s="697">
        <f t="shared" si="131"/>
        <v>18844.958333333332</v>
      </c>
      <c r="BA274" s="677"/>
    </row>
    <row r="275" spans="1:53" s="93" customFormat="1">
      <c r="A275" s="514" t="s">
        <v>173</v>
      </c>
      <c r="B275" s="296" t="s">
        <v>177</v>
      </c>
      <c r="C275" s="289">
        <v>162007</v>
      </c>
      <c r="D275" s="299">
        <v>4</v>
      </c>
      <c r="E275" s="148" t="s">
        <v>393</v>
      </c>
      <c r="F275" s="149" t="s">
        <v>393</v>
      </c>
      <c r="G275" s="679">
        <v>1179</v>
      </c>
      <c r="H275" s="678">
        <v>1051</v>
      </c>
      <c r="I275" s="679">
        <v>54115</v>
      </c>
      <c r="J275" s="678">
        <v>57624</v>
      </c>
      <c r="K275" s="679">
        <v>3456</v>
      </c>
      <c r="L275" s="678">
        <v>3241</v>
      </c>
      <c r="M275" s="679">
        <v>59724</v>
      </c>
      <c r="N275" s="678">
        <v>59695</v>
      </c>
      <c r="O275" s="694">
        <f t="shared" si="116"/>
        <v>118474</v>
      </c>
      <c r="P275" s="695">
        <f t="shared" si="132"/>
        <v>3949.1333333333332</v>
      </c>
      <c r="Q275" s="696">
        <f t="shared" si="117"/>
        <v>121611</v>
      </c>
      <c r="R275" s="697">
        <f t="shared" si="118"/>
        <v>4053.7</v>
      </c>
      <c r="S275" s="679"/>
      <c r="T275" s="678"/>
      <c r="U275" s="694">
        <f t="shared" si="119"/>
        <v>0</v>
      </c>
      <c r="V275" s="698">
        <f t="shared" si="120"/>
        <v>0</v>
      </c>
      <c r="W275" s="679"/>
      <c r="X275" s="678"/>
      <c r="Y275" s="679"/>
      <c r="Z275" s="678"/>
      <c r="AA275" s="679"/>
      <c r="AB275" s="678"/>
      <c r="AC275" s="679"/>
      <c r="AD275" s="678"/>
      <c r="AE275" s="694">
        <f t="shared" si="121"/>
        <v>0</v>
      </c>
      <c r="AF275" s="695">
        <f t="shared" si="122"/>
        <v>0</v>
      </c>
      <c r="AG275" s="696">
        <f t="shared" si="123"/>
        <v>0</v>
      </c>
      <c r="AH275" s="697">
        <f t="shared" si="124"/>
        <v>0</v>
      </c>
      <c r="AI275" s="679"/>
      <c r="AJ275" s="678"/>
      <c r="AK275" s="694">
        <f t="shared" si="125"/>
        <v>0</v>
      </c>
      <c r="AL275" s="698">
        <f t="shared" si="126"/>
        <v>0</v>
      </c>
      <c r="AM275" s="679">
        <v>268</v>
      </c>
      <c r="AN275" s="678">
        <v>262</v>
      </c>
      <c r="AO275" s="679">
        <v>6722</v>
      </c>
      <c r="AP275" s="678">
        <v>7201</v>
      </c>
      <c r="AQ275" s="679">
        <v>1744</v>
      </c>
      <c r="AR275" s="678">
        <v>1648</v>
      </c>
      <c r="AS275" s="679">
        <v>7130</v>
      </c>
      <c r="AT275" s="678">
        <v>7777</v>
      </c>
      <c r="AU275" s="699">
        <f t="shared" si="127"/>
        <v>15864</v>
      </c>
      <c r="AV275" s="695">
        <f t="shared" si="133"/>
        <v>661</v>
      </c>
      <c r="AW275" s="696">
        <f t="shared" si="128"/>
        <v>16888</v>
      </c>
      <c r="AX275" s="697">
        <f t="shared" si="129"/>
        <v>703.66666666666663</v>
      </c>
      <c r="AY275" s="700">
        <f t="shared" si="130"/>
        <v>4610.1333333333332</v>
      </c>
      <c r="AZ275" s="697">
        <f t="shared" si="131"/>
        <v>4757.3666666666668</v>
      </c>
      <c r="BA275" s="677"/>
    </row>
    <row r="276" spans="1:53">
      <c r="A276" s="514" t="s">
        <v>173</v>
      </c>
      <c r="B276" s="296" t="s">
        <v>183</v>
      </c>
      <c r="C276" s="289">
        <v>162283</v>
      </c>
      <c r="D276" s="299">
        <v>4</v>
      </c>
      <c r="E276" s="148" t="s">
        <v>393</v>
      </c>
      <c r="F276" s="149" t="s">
        <v>393</v>
      </c>
      <c r="G276" s="679">
        <v>776</v>
      </c>
      <c r="H276" s="678">
        <v>907</v>
      </c>
      <c r="I276" s="679">
        <v>37980</v>
      </c>
      <c r="J276" s="678">
        <v>40150</v>
      </c>
      <c r="K276" s="679">
        <v>2468</v>
      </c>
      <c r="L276" s="678">
        <v>2928</v>
      </c>
      <c r="M276" s="679">
        <v>43365</v>
      </c>
      <c r="N276" s="678">
        <v>42930</v>
      </c>
      <c r="O276" s="694">
        <f t="shared" si="116"/>
        <v>84589</v>
      </c>
      <c r="P276" s="695">
        <f t="shared" si="132"/>
        <v>2819.6333333333332</v>
      </c>
      <c r="Q276" s="696">
        <f t="shared" si="117"/>
        <v>86915</v>
      </c>
      <c r="R276" s="697">
        <f t="shared" si="118"/>
        <v>2897.1666666666665</v>
      </c>
      <c r="S276" s="679"/>
      <c r="T276" s="678"/>
      <c r="U276" s="694">
        <f t="shared" si="119"/>
        <v>0</v>
      </c>
      <c r="V276" s="698">
        <f t="shared" si="120"/>
        <v>0</v>
      </c>
      <c r="W276" s="679"/>
      <c r="X276" s="678"/>
      <c r="Y276" s="679"/>
      <c r="Z276" s="678"/>
      <c r="AA276" s="679"/>
      <c r="AB276" s="678"/>
      <c r="AC276" s="679"/>
      <c r="AD276" s="678"/>
      <c r="AE276" s="694">
        <f t="shared" si="121"/>
        <v>0</v>
      </c>
      <c r="AF276" s="695">
        <f t="shared" si="122"/>
        <v>0</v>
      </c>
      <c r="AG276" s="696">
        <f t="shared" si="123"/>
        <v>0</v>
      </c>
      <c r="AH276" s="697">
        <f t="shared" si="124"/>
        <v>0</v>
      </c>
      <c r="AI276" s="679"/>
      <c r="AJ276" s="678"/>
      <c r="AK276" s="694">
        <f t="shared" si="125"/>
        <v>0</v>
      </c>
      <c r="AL276" s="698">
        <f t="shared" si="126"/>
        <v>0</v>
      </c>
      <c r="AM276" s="679">
        <v>100</v>
      </c>
      <c r="AN276" s="678">
        <v>148</v>
      </c>
      <c r="AO276" s="679">
        <v>4287</v>
      </c>
      <c r="AP276" s="678">
        <v>5135</v>
      </c>
      <c r="AQ276" s="679">
        <v>954</v>
      </c>
      <c r="AR276" s="678">
        <v>621</v>
      </c>
      <c r="AS276" s="679">
        <v>4245</v>
      </c>
      <c r="AT276" s="678">
        <v>2976</v>
      </c>
      <c r="AU276" s="699">
        <f t="shared" si="127"/>
        <v>9586</v>
      </c>
      <c r="AV276" s="695">
        <f t="shared" si="133"/>
        <v>399.41666666666669</v>
      </c>
      <c r="AW276" s="696">
        <f t="shared" si="128"/>
        <v>8880</v>
      </c>
      <c r="AX276" s="697">
        <f t="shared" si="129"/>
        <v>370</v>
      </c>
      <c r="AY276" s="700">
        <f t="shared" si="130"/>
        <v>3219.0499999999997</v>
      </c>
      <c r="AZ276" s="697">
        <f t="shared" si="131"/>
        <v>3267.1666666666665</v>
      </c>
      <c r="BA276" s="680"/>
    </row>
    <row r="277" spans="1:53">
      <c r="A277" s="514" t="s">
        <v>173</v>
      </c>
      <c r="B277" s="296" t="s">
        <v>178</v>
      </c>
      <c r="C277" s="289">
        <v>162584</v>
      </c>
      <c r="D277" s="299">
        <v>4</v>
      </c>
      <c r="E277" s="148" t="s">
        <v>393</v>
      </c>
      <c r="F277" s="149" t="s">
        <v>393</v>
      </c>
      <c r="G277" s="679">
        <v>2214</v>
      </c>
      <c r="H277" s="678">
        <v>2369</v>
      </c>
      <c r="I277" s="679">
        <v>57137</v>
      </c>
      <c r="J277" s="678">
        <v>59546</v>
      </c>
      <c r="K277" s="679">
        <v>3855</v>
      </c>
      <c r="L277" s="678">
        <v>4427</v>
      </c>
      <c r="M277" s="679">
        <v>64173</v>
      </c>
      <c r="N277" s="678">
        <v>66617</v>
      </c>
      <c r="O277" s="694">
        <f t="shared" si="116"/>
        <v>127379</v>
      </c>
      <c r="P277" s="695">
        <f t="shared" si="132"/>
        <v>4245.9666666666662</v>
      </c>
      <c r="Q277" s="696">
        <f t="shared" si="117"/>
        <v>132959</v>
      </c>
      <c r="R277" s="697">
        <f t="shared" si="118"/>
        <v>4431.9666666666662</v>
      </c>
      <c r="S277" s="679"/>
      <c r="T277" s="678"/>
      <c r="U277" s="694">
        <f t="shared" si="119"/>
        <v>0</v>
      </c>
      <c r="V277" s="698">
        <f t="shared" si="120"/>
        <v>0</v>
      </c>
      <c r="W277" s="679"/>
      <c r="X277" s="678"/>
      <c r="Y277" s="679"/>
      <c r="Z277" s="678"/>
      <c r="AA277" s="679"/>
      <c r="AB277" s="678"/>
      <c r="AC277" s="679"/>
      <c r="AD277" s="678"/>
      <c r="AE277" s="694">
        <f t="shared" si="121"/>
        <v>0</v>
      </c>
      <c r="AF277" s="695">
        <f t="shared" si="122"/>
        <v>0</v>
      </c>
      <c r="AG277" s="696">
        <f t="shared" si="123"/>
        <v>0</v>
      </c>
      <c r="AH277" s="697">
        <f t="shared" si="124"/>
        <v>0</v>
      </c>
      <c r="AI277" s="679"/>
      <c r="AJ277" s="678"/>
      <c r="AK277" s="694">
        <f t="shared" si="125"/>
        <v>0</v>
      </c>
      <c r="AL277" s="698">
        <f t="shared" si="126"/>
        <v>0</v>
      </c>
      <c r="AM277" s="679">
        <v>486</v>
      </c>
      <c r="AN277" s="678">
        <v>354</v>
      </c>
      <c r="AO277" s="679">
        <v>4090</v>
      </c>
      <c r="AP277" s="678">
        <v>3566</v>
      </c>
      <c r="AQ277" s="679">
        <v>2270</v>
      </c>
      <c r="AR277" s="678">
        <v>2478</v>
      </c>
      <c r="AS277" s="679">
        <v>3872</v>
      </c>
      <c r="AT277" s="678">
        <v>4202</v>
      </c>
      <c r="AU277" s="699">
        <f t="shared" si="127"/>
        <v>10718</v>
      </c>
      <c r="AV277" s="695">
        <f t="shared" si="133"/>
        <v>446.58333333333331</v>
      </c>
      <c r="AW277" s="696">
        <f t="shared" si="128"/>
        <v>10600</v>
      </c>
      <c r="AX277" s="697">
        <f t="shared" si="129"/>
        <v>441.66666666666669</v>
      </c>
      <c r="AY277" s="700">
        <f t="shared" si="130"/>
        <v>4692.5499999999993</v>
      </c>
      <c r="AZ277" s="697">
        <f t="shared" si="131"/>
        <v>4873.6333333333332</v>
      </c>
      <c r="BA277" s="680"/>
    </row>
    <row r="278" spans="1:53">
      <c r="A278" s="514" t="s">
        <v>173</v>
      </c>
      <c r="B278" s="296" t="s">
        <v>180</v>
      </c>
      <c r="C278" s="289">
        <v>163851</v>
      </c>
      <c r="D278" s="299">
        <v>4</v>
      </c>
      <c r="E278" s="148" t="s">
        <v>393</v>
      </c>
      <c r="F278" s="149" t="s">
        <v>393</v>
      </c>
      <c r="G278" s="679">
        <v>6033</v>
      </c>
      <c r="H278" s="678">
        <v>5790</v>
      </c>
      <c r="I278" s="679">
        <v>96080</v>
      </c>
      <c r="J278" s="678">
        <v>101056</v>
      </c>
      <c r="K278" s="679">
        <v>5909</v>
      </c>
      <c r="L278" s="678">
        <v>6076</v>
      </c>
      <c r="M278" s="679">
        <v>105255</v>
      </c>
      <c r="N278" s="678">
        <v>108346</v>
      </c>
      <c r="O278" s="694">
        <f t="shared" si="116"/>
        <v>213277</v>
      </c>
      <c r="P278" s="695">
        <f t="shared" si="132"/>
        <v>7109.2333333333336</v>
      </c>
      <c r="Q278" s="696">
        <f t="shared" si="117"/>
        <v>221268</v>
      </c>
      <c r="R278" s="697">
        <f t="shared" si="118"/>
        <v>7375.6</v>
      </c>
      <c r="S278" s="679"/>
      <c r="T278" s="678"/>
      <c r="U278" s="694">
        <f t="shared" si="119"/>
        <v>0</v>
      </c>
      <c r="V278" s="698">
        <f t="shared" si="120"/>
        <v>0</v>
      </c>
      <c r="W278" s="679"/>
      <c r="X278" s="678"/>
      <c r="Y278" s="679"/>
      <c r="Z278" s="678"/>
      <c r="AA278" s="679"/>
      <c r="AB278" s="678"/>
      <c r="AC278" s="679"/>
      <c r="AD278" s="678"/>
      <c r="AE278" s="694">
        <f t="shared" si="121"/>
        <v>0</v>
      </c>
      <c r="AF278" s="695">
        <f t="shared" si="122"/>
        <v>0</v>
      </c>
      <c r="AG278" s="696">
        <f t="shared" si="123"/>
        <v>0</v>
      </c>
      <c r="AH278" s="697">
        <f t="shared" si="124"/>
        <v>0</v>
      </c>
      <c r="AI278" s="679"/>
      <c r="AJ278" s="678"/>
      <c r="AK278" s="694">
        <f t="shared" si="125"/>
        <v>0</v>
      </c>
      <c r="AL278" s="698">
        <f t="shared" si="126"/>
        <v>0</v>
      </c>
      <c r="AM278" s="679">
        <v>269</v>
      </c>
      <c r="AN278" s="678">
        <v>233</v>
      </c>
      <c r="AO278" s="679">
        <v>4029</v>
      </c>
      <c r="AP278" s="678">
        <v>4155</v>
      </c>
      <c r="AQ278" s="679">
        <v>1293</v>
      </c>
      <c r="AR278" s="678">
        <v>1379</v>
      </c>
      <c r="AS278" s="679">
        <v>4058</v>
      </c>
      <c r="AT278" s="678">
        <v>4335</v>
      </c>
      <c r="AU278" s="699">
        <f t="shared" si="127"/>
        <v>9649</v>
      </c>
      <c r="AV278" s="695">
        <f t="shared" si="133"/>
        <v>402.04166666666669</v>
      </c>
      <c r="AW278" s="696">
        <f t="shared" si="128"/>
        <v>10102</v>
      </c>
      <c r="AX278" s="697">
        <f t="shared" si="129"/>
        <v>420.91666666666669</v>
      </c>
      <c r="AY278" s="700">
        <f t="shared" si="130"/>
        <v>7511.2750000000005</v>
      </c>
      <c r="AZ278" s="697">
        <f t="shared" si="131"/>
        <v>7796.5166666666673</v>
      </c>
      <c r="BA278" s="680"/>
    </row>
    <row r="279" spans="1:53">
      <c r="A279" s="514" t="s">
        <v>173</v>
      </c>
      <c r="B279" s="296" t="s">
        <v>181</v>
      </c>
      <c r="C279" s="289">
        <v>161873</v>
      </c>
      <c r="D279" s="299">
        <v>4</v>
      </c>
      <c r="E279" s="148" t="s">
        <v>393</v>
      </c>
      <c r="F279" s="149" t="s">
        <v>393</v>
      </c>
      <c r="G279" s="679">
        <v>0</v>
      </c>
      <c r="H279" s="678">
        <v>120</v>
      </c>
      <c r="I279" s="679">
        <v>23227</v>
      </c>
      <c r="J279" s="678">
        <v>26229</v>
      </c>
      <c r="K279" s="679">
        <v>3913</v>
      </c>
      <c r="L279" s="678">
        <v>4236</v>
      </c>
      <c r="M279" s="679">
        <v>27459</v>
      </c>
      <c r="N279" s="678">
        <v>31703</v>
      </c>
      <c r="O279" s="694">
        <f t="shared" si="116"/>
        <v>54599</v>
      </c>
      <c r="P279" s="695">
        <f t="shared" si="132"/>
        <v>1819.9666666666667</v>
      </c>
      <c r="Q279" s="696">
        <f t="shared" si="117"/>
        <v>62288</v>
      </c>
      <c r="R279" s="697">
        <f t="shared" si="118"/>
        <v>2076.2666666666669</v>
      </c>
      <c r="S279" s="679"/>
      <c r="T279" s="678"/>
      <c r="U279" s="694">
        <f t="shared" si="119"/>
        <v>0</v>
      </c>
      <c r="V279" s="698">
        <f t="shared" si="120"/>
        <v>0</v>
      </c>
      <c r="W279" s="679"/>
      <c r="X279" s="678"/>
      <c r="Y279" s="679"/>
      <c r="Z279" s="678"/>
      <c r="AA279" s="679"/>
      <c r="AB279" s="678"/>
      <c r="AC279" s="679"/>
      <c r="AD279" s="678"/>
      <c r="AE279" s="694">
        <f t="shared" si="121"/>
        <v>0</v>
      </c>
      <c r="AF279" s="695">
        <f t="shared" si="122"/>
        <v>0</v>
      </c>
      <c r="AG279" s="696">
        <f t="shared" si="123"/>
        <v>0</v>
      </c>
      <c r="AH279" s="697">
        <f t="shared" si="124"/>
        <v>0</v>
      </c>
      <c r="AI279" s="679"/>
      <c r="AJ279" s="678"/>
      <c r="AK279" s="694">
        <f t="shared" si="125"/>
        <v>0</v>
      </c>
      <c r="AL279" s="698">
        <f t="shared" si="126"/>
        <v>0</v>
      </c>
      <c r="AM279" s="679">
        <v>0</v>
      </c>
      <c r="AN279" s="678">
        <v>60</v>
      </c>
      <c r="AO279" s="679">
        <v>25281</v>
      </c>
      <c r="AP279" s="678">
        <v>25661</v>
      </c>
      <c r="AQ279" s="679">
        <v>5038</v>
      </c>
      <c r="AR279" s="678">
        <v>5125</v>
      </c>
      <c r="AS279" s="679">
        <v>27026</v>
      </c>
      <c r="AT279" s="678">
        <v>27471</v>
      </c>
      <c r="AU279" s="699">
        <f t="shared" si="127"/>
        <v>57345</v>
      </c>
      <c r="AV279" s="695">
        <f t="shared" si="133"/>
        <v>2389.375</v>
      </c>
      <c r="AW279" s="696">
        <f t="shared" si="128"/>
        <v>58317</v>
      </c>
      <c r="AX279" s="697">
        <f t="shared" si="129"/>
        <v>2429.875</v>
      </c>
      <c r="AY279" s="700">
        <f t="shared" si="130"/>
        <v>4209.3416666666672</v>
      </c>
      <c r="AZ279" s="697">
        <f t="shared" si="131"/>
        <v>4506.1416666666664</v>
      </c>
      <c r="BA279" s="680"/>
    </row>
    <row r="280" spans="1:53">
      <c r="A280" s="514" t="s">
        <v>173</v>
      </c>
      <c r="B280" s="296" t="s">
        <v>182</v>
      </c>
      <c r="C280" s="289">
        <v>163338</v>
      </c>
      <c r="D280" s="299">
        <v>4</v>
      </c>
      <c r="E280" s="148" t="s">
        <v>393</v>
      </c>
      <c r="F280" s="149" t="s">
        <v>393</v>
      </c>
      <c r="G280" s="679">
        <v>972</v>
      </c>
      <c r="H280" s="678">
        <v>1111</v>
      </c>
      <c r="I280" s="679">
        <v>45460</v>
      </c>
      <c r="J280" s="678">
        <v>50160</v>
      </c>
      <c r="K280" s="679">
        <v>2659</v>
      </c>
      <c r="L280" s="678">
        <v>3950</v>
      </c>
      <c r="M280" s="679">
        <v>56323</v>
      </c>
      <c r="N280" s="678">
        <v>56830</v>
      </c>
      <c r="O280" s="694">
        <f t="shared" si="116"/>
        <v>105414</v>
      </c>
      <c r="P280" s="695">
        <f t="shared" si="132"/>
        <v>3513.8</v>
      </c>
      <c r="Q280" s="696">
        <f t="shared" si="117"/>
        <v>112051</v>
      </c>
      <c r="R280" s="697">
        <f t="shared" si="118"/>
        <v>3735.0333333333333</v>
      </c>
      <c r="S280" s="679"/>
      <c r="T280" s="678"/>
      <c r="U280" s="694">
        <f t="shared" si="119"/>
        <v>0</v>
      </c>
      <c r="V280" s="698">
        <f t="shared" si="120"/>
        <v>0</v>
      </c>
      <c r="W280" s="679"/>
      <c r="X280" s="678"/>
      <c r="Y280" s="679"/>
      <c r="Z280" s="678"/>
      <c r="AA280" s="679"/>
      <c r="AB280" s="678"/>
      <c r="AC280" s="679"/>
      <c r="AD280" s="678"/>
      <c r="AE280" s="694">
        <f t="shared" si="121"/>
        <v>0</v>
      </c>
      <c r="AF280" s="695">
        <f t="shared" si="122"/>
        <v>0</v>
      </c>
      <c r="AG280" s="696">
        <f t="shared" si="123"/>
        <v>0</v>
      </c>
      <c r="AH280" s="697">
        <f t="shared" si="124"/>
        <v>0</v>
      </c>
      <c r="AI280" s="679"/>
      <c r="AJ280" s="678"/>
      <c r="AK280" s="694">
        <f t="shared" si="125"/>
        <v>0</v>
      </c>
      <c r="AL280" s="698">
        <f t="shared" si="126"/>
        <v>0</v>
      </c>
      <c r="AM280" s="679">
        <v>153</v>
      </c>
      <c r="AN280" s="678">
        <v>187</v>
      </c>
      <c r="AO280" s="679">
        <v>2571</v>
      </c>
      <c r="AP280" s="678">
        <v>2776</v>
      </c>
      <c r="AQ280" s="679">
        <v>1147</v>
      </c>
      <c r="AR280" s="678">
        <v>1086</v>
      </c>
      <c r="AS280" s="679">
        <v>3533</v>
      </c>
      <c r="AT280" s="678">
        <v>3628</v>
      </c>
      <c r="AU280" s="699">
        <f t="shared" si="127"/>
        <v>7404</v>
      </c>
      <c r="AV280" s="695">
        <f t="shared" si="133"/>
        <v>308.5</v>
      </c>
      <c r="AW280" s="696">
        <f t="shared" si="128"/>
        <v>7677</v>
      </c>
      <c r="AX280" s="697">
        <f t="shared" si="129"/>
        <v>319.875</v>
      </c>
      <c r="AY280" s="700">
        <f t="shared" si="130"/>
        <v>3822.3</v>
      </c>
      <c r="AZ280" s="697">
        <f t="shared" si="131"/>
        <v>4054.9083333333333</v>
      </c>
      <c r="BA280" s="680"/>
    </row>
    <row r="281" spans="1:53">
      <c r="A281" s="514" t="s">
        <v>173</v>
      </c>
      <c r="B281" s="296" t="s">
        <v>184</v>
      </c>
      <c r="C281" s="289">
        <v>163912</v>
      </c>
      <c r="D281" s="299">
        <v>6</v>
      </c>
      <c r="E281" s="148" t="s">
        <v>393</v>
      </c>
      <c r="F281" s="149" t="s">
        <v>393</v>
      </c>
      <c r="G281" s="679">
        <v>0</v>
      </c>
      <c r="H281" s="678">
        <v>0</v>
      </c>
      <c r="I281" s="679">
        <v>29724.55</v>
      </c>
      <c r="J281" s="678">
        <v>29956.5</v>
      </c>
      <c r="K281" s="679">
        <v>1343</v>
      </c>
      <c r="L281" s="678">
        <v>1171</v>
      </c>
      <c r="M281" s="679">
        <v>30866</v>
      </c>
      <c r="N281" s="678">
        <v>31122</v>
      </c>
      <c r="O281" s="694">
        <f t="shared" si="116"/>
        <v>61933.55</v>
      </c>
      <c r="P281" s="695">
        <f t="shared" si="132"/>
        <v>2064.4516666666668</v>
      </c>
      <c r="Q281" s="696">
        <f t="shared" si="117"/>
        <v>62249.5</v>
      </c>
      <c r="R281" s="697">
        <f t="shared" si="118"/>
        <v>2074.9833333333331</v>
      </c>
      <c r="S281" s="679"/>
      <c r="T281" s="678"/>
      <c r="U281" s="694">
        <f t="shared" si="119"/>
        <v>0</v>
      </c>
      <c r="V281" s="698">
        <f t="shared" si="120"/>
        <v>0</v>
      </c>
      <c r="W281" s="679"/>
      <c r="X281" s="678"/>
      <c r="Y281" s="679"/>
      <c r="Z281" s="678"/>
      <c r="AA281" s="679"/>
      <c r="AB281" s="678"/>
      <c r="AC281" s="679"/>
      <c r="AD281" s="678"/>
      <c r="AE281" s="694">
        <f t="shared" si="121"/>
        <v>0</v>
      </c>
      <c r="AF281" s="695">
        <f t="shared" si="122"/>
        <v>0</v>
      </c>
      <c r="AG281" s="696">
        <f t="shared" si="123"/>
        <v>0</v>
      </c>
      <c r="AH281" s="697">
        <f t="shared" si="124"/>
        <v>0</v>
      </c>
      <c r="AI281" s="679"/>
      <c r="AJ281" s="678"/>
      <c r="AK281" s="694">
        <f t="shared" si="125"/>
        <v>0</v>
      </c>
      <c r="AL281" s="698">
        <f t="shared" si="126"/>
        <v>0</v>
      </c>
      <c r="AM281" s="679">
        <v>0</v>
      </c>
      <c r="AN281" s="678">
        <v>0</v>
      </c>
      <c r="AO281" s="679">
        <v>408</v>
      </c>
      <c r="AP281" s="678">
        <v>636</v>
      </c>
      <c r="AQ281" s="679">
        <v>318</v>
      </c>
      <c r="AR281" s="678">
        <v>527</v>
      </c>
      <c r="AS281" s="679">
        <v>556</v>
      </c>
      <c r="AT281" s="678">
        <v>761</v>
      </c>
      <c r="AU281" s="699">
        <f t="shared" si="127"/>
        <v>1282</v>
      </c>
      <c r="AV281" s="695">
        <f t="shared" si="133"/>
        <v>53.416666666666664</v>
      </c>
      <c r="AW281" s="696">
        <f t="shared" si="128"/>
        <v>1924</v>
      </c>
      <c r="AX281" s="697">
        <f t="shared" si="129"/>
        <v>80.166666666666671</v>
      </c>
      <c r="AY281" s="700">
        <f t="shared" si="130"/>
        <v>2117.8683333333333</v>
      </c>
      <c r="AZ281" s="697">
        <f t="shared" si="131"/>
        <v>2155.1499999999996</v>
      </c>
      <c r="BA281" s="680"/>
    </row>
    <row r="282" spans="1:53">
      <c r="A282" s="514" t="s">
        <v>173</v>
      </c>
      <c r="B282" s="296" t="s">
        <v>185</v>
      </c>
      <c r="C282" s="289">
        <v>161767</v>
      </c>
      <c r="D282" s="299">
        <v>8</v>
      </c>
      <c r="E282" s="148" t="s">
        <v>393</v>
      </c>
      <c r="F282" s="149" t="s">
        <v>393</v>
      </c>
      <c r="G282" s="679">
        <v>2274</v>
      </c>
      <c r="H282" s="678">
        <v>2530</v>
      </c>
      <c r="I282" s="679">
        <v>114635</v>
      </c>
      <c r="J282" s="678">
        <v>122319</v>
      </c>
      <c r="K282" s="679">
        <v>27894</v>
      </c>
      <c r="L282" s="678">
        <v>32088</v>
      </c>
      <c r="M282" s="679">
        <v>131297</v>
      </c>
      <c r="N282" s="678">
        <v>146394</v>
      </c>
      <c r="O282" s="694">
        <f t="shared" si="116"/>
        <v>276100</v>
      </c>
      <c r="P282" s="695">
        <f t="shared" si="132"/>
        <v>9203.3333333333339</v>
      </c>
      <c r="Q282" s="696">
        <f t="shared" si="117"/>
        <v>303331</v>
      </c>
      <c r="R282" s="697">
        <f t="shared" si="118"/>
        <v>10111.033333333333</v>
      </c>
      <c r="S282" s="679"/>
      <c r="T282" s="678"/>
      <c r="U282" s="694">
        <f t="shared" si="119"/>
        <v>0</v>
      </c>
      <c r="V282" s="698">
        <f t="shared" si="120"/>
        <v>0</v>
      </c>
      <c r="W282" s="679"/>
      <c r="X282" s="678"/>
      <c r="Y282" s="679"/>
      <c r="Z282" s="678"/>
      <c r="AA282" s="679"/>
      <c r="AB282" s="678"/>
      <c r="AC282" s="679"/>
      <c r="AD282" s="678"/>
      <c r="AE282" s="694">
        <f t="shared" si="121"/>
        <v>0</v>
      </c>
      <c r="AF282" s="695">
        <f t="shared" si="122"/>
        <v>0</v>
      </c>
      <c r="AG282" s="696">
        <f t="shared" si="123"/>
        <v>0</v>
      </c>
      <c r="AH282" s="697">
        <f t="shared" si="124"/>
        <v>0</v>
      </c>
      <c r="AI282" s="679"/>
      <c r="AJ282" s="678"/>
      <c r="AK282" s="694">
        <f t="shared" si="125"/>
        <v>0</v>
      </c>
      <c r="AL282" s="698">
        <f t="shared" si="126"/>
        <v>0</v>
      </c>
      <c r="AM282" s="679"/>
      <c r="AN282" s="678"/>
      <c r="AO282" s="679"/>
      <c r="AP282" s="678"/>
      <c r="AQ282" s="679"/>
      <c r="AR282" s="678"/>
      <c r="AS282" s="679"/>
      <c r="AT282" s="678"/>
      <c r="AU282" s="699">
        <f t="shared" si="127"/>
        <v>0</v>
      </c>
      <c r="AV282" s="695">
        <f t="shared" si="133"/>
        <v>0</v>
      </c>
      <c r="AW282" s="696">
        <f t="shared" si="128"/>
        <v>0</v>
      </c>
      <c r="AX282" s="697">
        <f t="shared" si="129"/>
        <v>0</v>
      </c>
      <c r="AY282" s="700">
        <f t="shared" si="130"/>
        <v>9203.3333333333339</v>
      </c>
      <c r="AZ282" s="697">
        <f t="shared" si="131"/>
        <v>10111.033333333333</v>
      </c>
      <c r="BA282" s="680"/>
    </row>
    <row r="283" spans="1:53">
      <c r="A283" s="514" t="s">
        <v>173</v>
      </c>
      <c r="B283" s="296" t="s">
        <v>186</v>
      </c>
      <c r="C283" s="289">
        <v>434672</v>
      </c>
      <c r="D283" s="299">
        <v>8</v>
      </c>
      <c r="E283" s="148" t="s">
        <v>393</v>
      </c>
      <c r="F283" s="149" t="s">
        <v>393</v>
      </c>
      <c r="G283" s="679">
        <v>7204.5</v>
      </c>
      <c r="H283" s="678">
        <v>9816.5</v>
      </c>
      <c r="I283" s="679">
        <v>151390.5</v>
      </c>
      <c r="J283" s="678">
        <v>165109</v>
      </c>
      <c r="K283" s="679">
        <v>37577</v>
      </c>
      <c r="L283" s="678">
        <v>40594</v>
      </c>
      <c r="M283" s="679">
        <v>174835.5</v>
      </c>
      <c r="N283" s="678">
        <v>204832</v>
      </c>
      <c r="O283" s="694">
        <f t="shared" si="116"/>
        <v>371007.5</v>
      </c>
      <c r="P283" s="695">
        <f t="shared" si="132"/>
        <v>12366.916666666666</v>
      </c>
      <c r="Q283" s="696">
        <f t="shared" si="117"/>
        <v>420351.5</v>
      </c>
      <c r="R283" s="697">
        <f t="shared" si="118"/>
        <v>14011.716666666667</v>
      </c>
      <c r="S283" s="679"/>
      <c r="T283" s="678"/>
      <c r="U283" s="694">
        <f t="shared" si="119"/>
        <v>0</v>
      </c>
      <c r="V283" s="698">
        <f t="shared" si="120"/>
        <v>0</v>
      </c>
      <c r="W283" s="679"/>
      <c r="X283" s="678"/>
      <c r="Y283" s="679"/>
      <c r="Z283" s="678"/>
      <c r="AA283" s="679"/>
      <c r="AB283" s="678"/>
      <c r="AC283" s="679"/>
      <c r="AD283" s="678"/>
      <c r="AE283" s="694">
        <f t="shared" si="121"/>
        <v>0</v>
      </c>
      <c r="AF283" s="695">
        <f t="shared" si="122"/>
        <v>0</v>
      </c>
      <c r="AG283" s="696">
        <f t="shared" si="123"/>
        <v>0</v>
      </c>
      <c r="AH283" s="697">
        <f t="shared" si="124"/>
        <v>0</v>
      </c>
      <c r="AI283" s="679"/>
      <c r="AJ283" s="678"/>
      <c r="AK283" s="694">
        <f t="shared" si="125"/>
        <v>0</v>
      </c>
      <c r="AL283" s="698">
        <f t="shared" si="126"/>
        <v>0</v>
      </c>
      <c r="AM283" s="679"/>
      <c r="AN283" s="678"/>
      <c r="AO283" s="679"/>
      <c r="AP283" s="678"/>
      <c r="AQ283" s="679"/>
      <c r="AR283" s="678"/>
      <c r="AS283" s="679"/>
      <c r="AT283" s="678"/>
      <c r="AU283" s="699">
        <f t="shared" si="127"/>
        <v>0</v>
      </c>
      <c r="AV283" s="695">
        <f t="shared" si="133"/>
        <v>0</v>
      </c>
      <c r="AW283" s="696">
        <f t="shared" si="128"/>
        <v>0</v>
      </c>
      <c r="AX283" s="697">
        <f t="shared" si="129"/>
        <v>0</v>
      </c>
      <c r="AY283" s="700">
        <f t="shared" si="130"/>
        <v>12366.916666666666</v>
      </c>
      <c r="AZ283" s="697">
        <f t="shared" si="131"/>
        <v>14011.716666666667</v>
      </c>
      <c r="BA283" s="680"/>
    </row>
    <row r="284" spans="1:53">
      <c r="A284" s="514" t="s">
        <v>173</v>
      </c>
      <c r="B284" s="296" t="s">
        <v>824</v>
      </c>
      <c r="C284" s="289">
        <v>163426</v>
      </c>
      <c r="D284" s="299">
        <v>8</v>
      </c>
      <c r="E284" s="148" t="s">
        <v>393</v>
      </c>
      <c r="F284" s="149" t="s">
        <v>393</v>
      </c>
      <c r="G284" s="679">
        <v>2379</v>
      </c>
      <c r="H284" s="678">
        <v>2638</v>
      </c>
      <c r="I284" s="679">
        <v>233700</v>
      </c>
      <c r="J284" s="678">
        <v>248118</v>
      </c>
      <c r="K284" s="679">
        <v>78456</v>
      </c>
      <c r="L284" s="678">
        <v>84798</v>
      </c>
      <c r="M284" s="679">
        <v>255761</v>
      </c>
      <c r="N284" s="678">
        <v>299288</v>
      </c>
      <c r="O284" s="694">
        <f t="shared" si="116"/>
        <v>570296</v>
      </c>
      <c r="P284" s="695">
        <f t="shared" si="132"/>
        <v>19009.866666666665</v>
      </c>
      <c r="Q284" s="696">
        <f t="shared" si="117"/>
        <v>634842</v>
      </c>
      <c r="R284" s="697">
        <f t="shared" si="118"/>
        <v>21161.4</v>
      </c>
      <c r="S284" s="679"/>
      <c r="T284" s="678"/>
      <c r="U284" s="694">
        <f t="shared" si="119"/>
        <v>0</v>
      </c>
      <c r="V284" s="698">
        <f t="shared" si="120"/>
        <v>0</v>
      </c>
      <c r="W284" s="679"/>
      <c r="X284" s="678"/>
      <c r="Y284" s="679"/>
      <c r="Z284" s="678"/>
      <c r="AA284" s="679"/>
      <c r="AB284" s="678"/>
      <c r="AC284" s="679"/>
      <c r="AD284" s="678"/>
      <c r="AE284" s="694">
        <f t="shared" si="121"/>
        <v>0</v>
      </c>
      <c r="AF284" s="695">
        <f t="shared" si="122"/>
        <v>0</v>
      </c>
      <c r="AG284" s="696">
        <f t="shared" si="123"/>
        <v>0</v>
      </c>
      <c r="AH284" s="697">
        <f t="shared" si="124"/>
        <v>0</v>
      </c>
      <c r="AI284" s="679"/>
      <c r="AJ284" s="678"/>
      <c r="AK284" s="694">
        <f t="shared" si="125"/>
        <v>0</v>
      </c>
      <c r="AL284" s="698">
        <f t="shared" si="126"/>
        <v>0</v>
      </c>
      <c r="AM284" s="679"/>
      <c r="AN284" s="678"/>
      <c r="AO284" s="679"/>
      <c r="AP284" s="678"/>
      <c r="AQ284" s="679"/>
      <c r="AR284" s="678"/>
      <c r="AS284" s="679"/>
      <c r="AT284" s="678"/>
      <c r="AU284" s="699">
        <f t="shared" si="127"/>
        <v>0</v>
      </c>
      <c r="AV284" s="695">
        <f t="shared" si="133"/>
        <v>0</v>
      </c>
      <c r="AW284" s="696">
        <f t="shared" si="128"/>
        <v>0</v>
      </c>
      <c r="AX284" s="697">
        <f t="shared" si="129"/>
        <v>0</v>
      </c>
      <c r="AY284" s="700">
        <f t="shared" si="130"/>
        <v>19009.866666666665</v>
      </c>
      <c r="AZ284" s="697">
        <f t="shared" si="131"/>
        <v>21161.4</v>
      </c>
      <c r="BA284" s="680"/>
    </row>
    <row r="285" spans="1:53">
      <c r="A285" s="514" t="s">
        <v>173</v>
      </c>
      <c r="B285" s="296" t="s">
        <v>187</v>
      </c>
      <c r="C285" s="289">
        <v>163657</v>
      </c>
      <c r="D285" s="299">
        <v>8</v>
      </c>
      <c r="E285" s="148" t="s">
        <v>393</v>
      </c>
      <c r="F285" s="149" t="s">
        <v>393</v>
      </c>
      <c r="G285" s="679">
        <v>0</v>
      </c>
      <c r="H285" s="678">
        <v>926</v>
      </c>
      <c r="I285" s="679">
        <v>90676</v>
      </c>
      <c r="J285" s="678">
        <v>91405</v>
      </c>
      <c r="K285" s="679">
        <v>24846</v>
      </c>
      <c r="L285" s="678">
        <v>27404</v>
      </c>
      <c r="M285" s="679">
        <v>95960</v>
      </c>
      <c r="N285" s="678">
        <v>117826</v>
      </c>
      <c r="O285" s="694">
        <f t="shared" si="116"/>
        <v>211482</v>
      </c>
      <c r="P285" s="695">
        <f t="shared" si="132"/>
        <v>7049.4</v>
      </c>
      <c r="Q285" s="696">
        <f t="shared" si="117"/>
        <v>237561</v>
      </c>
      <c r="R285" s="697">
        <f t="shared" si="118"/>
        <v>7918.7</v>
      </c>
      <c r="S285" s="679"/>
      <c r="T285" s="678"/>
      <c r="U285" s="694">
        <f t="shared" si="119"/>
        <v>0</v>
      </c>
      <c r="V285" s="698">
        <f t="shared" si="120"/>
        <v>0</v>
      </c>
      <c r="W285" s="679"/>
      <c r="X285" s="678"/>
      <c r="Y285" s="679"/>
      <c r="Z285" s="678"/>
      <c r="AA285" s="679"/>
      <c r="AB285" s="678"/>
      <c r="AC285" s="679"/>
      <c r="AD285" s="678"/>
      <c r="AE285" s="694">
        <f t="shared" si="121"/>
        <v>0</v>
      </c>
      <c r="AF285" s="695">
        <f t="shared" si="122"/>
        <v>0</v>
      </c>
      <c r="AG285" s="696">
        <f t="shared" si="123"/>
        <v>0</v>
      </c>
      <c r="AH285" s="697">
        <f t="shared" si="124"/>
        <v>0</v>
      </c>
      <c r="AI285" s="679"/>
      <c r="AJ285" s="678"/>
      <c r="AK285" s="694">
        <f t="shared" si="125"/>
        <v>0</v>
      </c>
      <c r="AL285" s="698">
        <f t="shared" si="126"/>
        <v>0</v>
      </c>
      <c r="AM285" s="679"/>
      <c r="AN285" s="678"/>
      <c r="AO285" s="679"/>
      <c r="AP285" s="678"/>
      <c r="AQ285" s="679"/>
      <c r="AR285" s="678"/>
      <c r="AS285" s="679"/>
      <c r="AT285" s="678"/>
      <c r="AU285" s="699">
        <f t="shared" si="127"/>
        <v>0</v>
      </c>
      <c r="AV285" s="695">
        <f t="shared" si="133"/>
        <v>0</v>
      </c>
      <c r="AW285" s="696">
        <f t="shared" si="128"/>
        <v>0</v>
      </c>
      <c r="AX285" s="697">
        <f t="shared" si="129"/>
        <v>0</v>
      </c>
      <c r="AY285" s="700">
        <f t="shared" si="130"/>
        <v>7049.4</v>
      </c>
      <c r="AZ285" s="697">
        <f t="shared" si="131"/>
        <v>7918.7</v>
      </c>
      <c r="BA285" s="680"/>
    </row>
    <row r="286" spans="1:53">
      <c r="A286" s="515" t="s">
        <v>173</v>
      </c>
      <c r="B286" s="296" t="s">
        <v>193</v>
      </c>
      <c r="C286" s="516">
        <v>161688</v>
      </c>
      <c r="D286" s="165">
        <v>9</v>
      </c>
      <c r="E286" s="148" t="s">
        <v>393</v>
      </c>
      <c r="F286" s="149" t="s">
        <v>393</v>
      </c>
      <c r="G286" s="679">
        <v>0</v>
      </c>
      <c r="H286" s="678">
        <v>0</v>
      </c>
      <c r="I286" s="679">
        <v>32391</v>
      </c>
      <c r="J286" s="678">
        <v>33769</v>
      </c>
      <c r="K286" s="679">
        <v>3957</v>
      </c>
      <c r="L286" s="678">
        <v>4292</v>
      </c>
      <c r="M286" s="679">
        <v>37755</v>
      </c>
      <c r="N286" s="678">
        <v>40352</v>
      </c>
      <c r="O286" s="694">
        <f t="shared" si="116"/>
        <v>74103</v>
      </c>
      <c r="P286" s="695">
        <f t="shared" si="132"/>
        <v>2470.1</v>
      </c>
      <c r="Q286" s="696">
        <f t="shared" si="117"/>
        <v>78413</v>
      </c>
      <c r="R286" s="697">
        <f t="shared" si="118"/>
        <v>2613.7666666666669</v>
      </c>
      <c r="S286" s="679"/>
      <c r="T286" s="678"/>
      <c r="U286" s="694">
        <f t="shared" si="119"/>
        <v>0</v>
      </c>
      <c r="V286" s="698">
        <f t="shared" si="120"/>
        <v>0</v>
      </c>
      <c r="W286" s="679"/>
      <c r="X286" s="678"/>
      <c r="Y286" s="679"/>
      <c r="Z286" s="678"/>
      <c r="AA286" s="679"/>
      <c r="AB286" s="678"/>
      <c r="AC286" s="679"/>
      <c r="AD286" s="678"/>
      <c r="AE286" s="694">
        <f t="shared" si="121"/>
        <v>0</v>
      </c>
      <c r="AF286" s="695">
        <f t="shared" si="122"/>
        <v>0</v>
      </c>
      <c r="AG286" s="696">
        <f t="shared" si="123"/>
        <v>0</v>
      </c>
      <c r="AH286" s="697">
        <f t="shared" si="124"/>
        <v>0</v>
      </c>
      <c r="AI286" s="679"/>
      <c r="AJ286" s="678"/>
      <c r="AK286" s="694">
        <f t="shared" si="125"/>
        <v>0</v>
      </c>
      <c r="AL286" s="698">
        <f t="shared" si="126"/>
        <v>0</v>
      </c>
      <c r="AM286" s="679"/>
      <c r="AN286" s="678"/>
      <c r="AO286" s="679"/>
      <c r="AP286" s="678"/>
      <c r="AQ286" s="679"/>
      <c r="AR286" s="678"/>
      <c r="AS286" s="679"/>
      <c r="AT286" s="678"/>
      <c r="AU286" s="699">
        <f t="shared" si="127"/>
        <v>0</v>
      </c>
      <c r="AV286" s="695">
        <f t="shared" si="133"/>
        <v>0</v>
      </c>
      <c r="AW286" s="696">
        <f t="shared" si="128"/>
        <v>0</v>
      </c>
      <c r="AX286" s="697">
        <f t="shared" si="129"/>
        <v>0</v>
      </c>
      <c r="AY286" s="700">
        <f t="shared" si="130"/>
        <v>2470.1</v>
      </c>
      <c r="AZ286" s="697">
        <f t="shared" si="131"/>
        <v>2613.7666666666669</v>
      </c>
      <c r="BA286" s="680"/>
    </row>
    <row r="287" spans="1:53">
      <c r="A287" s="514" t="s">
        <v>173</v>
      </c>
      <c r="B287" s="296" t="s">
        <v>188</v>
      </c>
      <c r="C287" s="289">
        <v>161864</v>
      </c>
      <c r="D287" s="299">
        <v>9</v>
      </c>
      <c r="E287" s="148" t="s">
        <v>393</v>
      </c>
      <c r="F287" s="149" t="s">
        <v>393</v>
      </c>
      <c r="G287" s="679">
        <v>1969</v>
      </c>
      <c r="H287" s="678">
        <v>1984</v>
      </c>
      <c r="I287" s="679">
        <v>63348</v>
      </c>
      <c r="J287" s="678">
        <v>61224</v>
      </c>
      <c r="K287" s="679">
        <v>13124</v>
      </c>
      <c r="L287" s="678">
        <v>13699</v>
      </c>
      <c r="M287" s="679">
        <v>67594</v>
      </c>
      <c r="N287" s="678">
        <v>64434</v>
      </c>
      <c r="O287" s="694">
        <f t="shared" si="116"/>
        <v>146035</v>
      </c>
      <c r="P287" s="695">
        <f t="shared" si="132"/>
        <v>4867.833333333333</v>
      </c>
      <c r="Q287" s="696">
        <f t="shared" si="117"/>
        <v>141341</v>
      </c>
      <c r="R287" s="697">
        <f t="shared" si="118"/>
        <v>4711.3666666666668</v>
      </c>
      <c r="S287" s="679"/>
      <c r="T287" s="678"/>
      <c r="U287" s="694">
        <f t="shared" si="119"/>
        <v>0</v>
      </c>
      <c r="V287" s="698">
        <f t="shared" si="120"/>
        <v>0</v>
      </c>
      <c r="W287" s="679"/>
      <c r="X287" s="678"/>
      <c r="Y287" s="679"/>
      <c r="Z287" s="678"/>
      <c r="AA287" s="679"/>
      <c r="AB287" s="678"/>
      <c r="AC287" s="679"/>
      <c r="AD287" s="678"/>
      <c r="AE287" s="694">
        <f t="shared" si="121"/>
        <v>0</v>
      </c>
      <c r="AF287" s="695">
        <f t="shared" si="122"/>
        <v>0</v>
      </c>
      <c r="AG287" s="696">
        <f t="shared" si="123"/>
        <v>0</v>
      </c>
      <c r="AH287" s="697">
        <f t="shared" si="124"/>
        <v>0</v>
      </c>
      <c r="AI287" s="679"/>
      <c r="AJ287" s="678"/>
      <c r="AK287" s="694">
        <f t="shared" si="125"/>
        <v>0</v>
      </c>
      <c r="AL287" s="698">
        <f t="shared" si="126"/>
        <v>0</v>
      </c>
      <c r="AM287" s="679"/>
      <c r="AN287" s="678"/>
      <c r="AO287" s="679"/>
      <c r="AP287" s="678"/>
      <c r="AQ287" s="679"/>
      <c r="AR287" s="678"/>
      <c r="AS287" s="679"/>
      <c r="AT287" s="678"/>
      <c r="AU287" s="699">
        <f t="shared" si="127"/>
        <v>0</v>
      </c>
      <c r="AV287" s="695">
        <f t="shared" si="133"/>
        <v>0</v>
      </c>
      <c r="AW287" s="696">
        <f t="shared" si="128"/>
        <v>0</v>
      </c>
      <c r="AX287" s="697">
        <f t="shared" si="129"/>
        <v>0</v>
      </c>
      <c r="AY287" s="700">
        <f t="shared" si="130"/>
        <v>4867.833333333333</v>
      </c>
      <c r="AZ287" s="697">
        <f t="shared" si="131"/>
        <v>4711.3666666666668</v>
      </c>
      <c r="BA287" s="680"/>
    </row>
    <row r="288" spans="1:53">
      <c r="A288" s="514" t="s">
        <v>173</v>
      </c>
      <c r="B288" s="296" t="s">
        <v>189</v>
      </c>
      <c r="C288" s="289">
        <v>162122</v>
      </c>
      <c r="D288" s="299">
        <v>9</v>
      </c>
      <c r="E288" s="148" t="s">
        <v>393</v>
      </c>
      <c r="F288" s="149" t="s">
        <v>393</v>
      </c>
      <c r="G288" s="679">
        <v>966</v>
      </c>
      <c r="H288" s="678">
        <v>0</v>
      </c>
      <c r="I288" s="679">
        <v>58370</v>
      </c>
      <c r="J288" s="678">
        <v>65843</v>
      </c>
      <c r="K288" s="679">
        <v>11624</v>
      </c>
      <c r="L288" s="678">
        <v>13945</v>
      </c>
      <c r="M288" s="679">
        <v>71463</v>
      </c>
      <c r="N288" s="678">
        <v>77521</v>
      </c>
      <c r="O288" s="694">
        <f t="shared" si="116"/>
        <v>142423</v>
      </c>
      <c r="P288" s="695">
        <f t="shared" si="132"/>
        <v>4747.4333333333334</v>
      </c>
      <c r="Q288" s="696">
        <f t="shared" si="117"/>
        <v>157309</v>
      </c>
      <c r="R288" s="697">
        <f t="shared" si="118"/>
        <v>5243.6333333333332</v>
      </c>
      <c r="S288" s="679"/>
      <c r="T288" s="678"/>
      <c r="U288" s="694">
        <f t="shared" si="119"/>
        <v>0</v>
      </c>
      <c r="V288" s="698">
        <f t="shared" si="120"/>
        <v>0</v>
      </c>
      <c r="W288" s="679"/>
      <c r="X288" s="678"/>
      <c r="Y288" s="679"/>
      <c r="Z288" s="678"/>
      <c r="AA288" s="679"/>
      <c r="AB288" s="678"/>
      <c r="AC288" s="679"/>
      <c r="AD288" s="678"/>
      <c r="AE288" s="694">
        <f t="shared" si="121"/>
        <v>0</v>
      </c>
      <c r="AF288" s="695">
        <f t="shared" si="122"/>
        <v>0</v>
      </c>
      <c r="AG288" s="696">
        <f t="shared" si="123"/>
        <v>0</v>
      </c>
      <c r="AH288" s="697">
        <f t="shared" si="124"/>
        <v>0</v>
      </c>
      <c r="AI288" s="679"/>
      <c r="AJ288" s="678"/>
      <c r="AK288" s="694">
        <f t="shared" si="125"/>
        <v>0</v>
      </c>
      <c r="AL288" s="698">
        <f t="shared" si="126"/>
        <v>0</v>
      </c>
      <c r="AM288" s="679"/>
      <c r="AN288" s="678"/>
      <c r="AO288" s="679"/>
      <c r="AP288" s="678"/>
      <c r="AQ288" s="679"/>
      <c r="AR288" s="678"/>
      <c r="AS288" s="679"/>
      <c r="AT288" s="678"/>
      <c r="AU288" s="699">
        <f t="shared" si="127"/>
        <v>0</v>
      </c>
      <c r="AV288" s="695">
        <f t="shared" si="133"/>
        <v>0</v>
      </c>
      <c r="AW288" s="696">
        <f t="shared" si="128"/>
        <v>0</v>
      </c>
      <c r="AX288" s="697">
        <f t="shared" si="129"/>
        <v>0</v>
      </c>
      <c r="AY288" s="700">
        <f t="shared" si="130"/>
        <v>4747.4333333333334</v>
      </c>
      <c r="AZ288" s="697">
        <f t="shared" si="131"/>
        <v>5243.6333333333332</v>
      </c>
      <c r="BA288" s="680"/>
    </row>
    <row r="289" spans="1:53">
      <c r="A289" s="514" t="s">
        <v>173</v>
      </c>
      <c r="B289" s="296" t="s">
        <v>190</v>
      </c>
      <c r="C289" s="289">
        <v>162557</v>
      </c>
      <c r="D289" s="299">
        <v>9</v>
      </c>
      <c r="E289" s="148" t="s">
        <v>393</v>
      </c>
      <c r="F289" s="149" t="s">
        <v>393</v>
      </c>
      <c r="G289" s="679">
        <v>1873</v>
      </c>
      <c r="H289" s="678">
        <v>2195</v>
      </c>
      <c r="I289" s="679">
        <v>43091</v>
      </c>
      <c r="J289" s="678">
        <v>47729</v>
      </c>
      <c r="K289" s="679">
        <v>9320</v>
      </c>
      <c r="L289" s="678">
        <v>11071</v>
      </c>
      <c r="M289" s="679">
        <v>43334</v>
      </c>
      <c r="N289" s="678">
        <v>13790</v>
      </c>
      <c r="O289" s="694">
        <f t="shared" si="116"/>
        <v>97618</v>
      </c>
      <c r="P289" s="695">
        <f t="shared" si="132"/>
        <v>3253.9333333333334</v>
      </c>
      <c r="Q289" s="696">
        <f t="shared" si="117"/>
        <v>74785</v>
      </c>
      <c r="R289" s="697">
        <f t="shared" si="118"/>
        <v>2492.8333333333335</v>
      </c>
      <c r="S289" s="679"/>
      <c r="T289" s="678"/>
      <c r="U289" s="694">
        <f t="shared" si="119"/>
        <v>0</v>
      </c>
      <c r="V289" s="698">
        <f t="shared" si="120"/>
        <v>0</v>
      </c>
      <c r="W289" s="679"/>
      <c r="X289" s="678"/>
      <c r="Y289" s="679"/>
      <c r="Z289" s="678"/>
      <c r="AA289" s="679"/>
      <c r="AB289" s="678"/>
      <c r="AC289" s="679"/>
      <c r="AD289" s="678"/>
      <c r="AE289" s="694">
        <f t="shared" si="121"/>
        <v>0</v>
      </c>
      <c r="AF289" s="695">
        <f t="shared" si="122"/>
        <v>0</v>
      </c>
      <c r="AG289" s="696">
        <f t="shared" si="123"/>
        <v>0</v>
      </c>
      <c r="AH289" s="697">
        <f t="shared" si="124"/>
        <v>0</v>
      </c>
      <c r="AI289" s="679"/>
      <c r="AJ289" s="678"/>
      <c r="AK289" s="694">
        <f t="shared" si="125"/>
        <v>0</v>
      </c>
      <c r="AL289" s="698">
        <f t="shared" si="126"/>
        <v>0</v>
      </c>
      <c r="AM289" s="679"/>
      <c r="AN289" s="678"/>
      <c r="AO289" s="679"/>
      <c r="AP289" s="678"/>
      <c r="AQ289" s="679"/>
      <c r="AR289" s="678"/>
      <c r="AS289" s="679"/>
      <c r="AT289" s="678"/>
      <c r="AU289" s="699">
        <f t="shared" si="127"/>
        <v>0</v>
      </c>
      <c r="AV289" s="695">
        <f t="shared" si="133"/>
        <v>0</v>
      </c>
      <c r="AW289" s="696">
        <f t="shared" si="128"/>
        <v>0</v>
      </c>
      <c r="AX289" s="697">
        <f t="shared" si="129"/>
        <v>0</v>
      </c>
      <c r="AY289" s="700">
        <f t="shared" si="130"/>
        <v>3253.9333333333334</v>
      </c>
      <c r="AZ289" s="697">
        <f t="shared" si="131"/>
        <v>2492.8333333333335</v>
      </c>
      <c r="BA289" s="680"/>
    </row>
    <row r="290" spans="1:53">
      <c r="A290" s="515" t="s">
        <v>173</v>
      </c>
      <c r="B290" s="296" t="s">
        <v>198</v>
      </c>
      <c r="C290" s="516">
        <v>162690</v>
      </c>
      <c r="D290" s="165">
        <v>9</v>
      </c>
      <c r="E290" s="148" t="s">
        <v>393</v>
      </c>
      <c r="F290" s="149" t="s">
        <v>393</v>
      </c>
      <c r="G290" s="679">
        <v>0</v>
      </c>
      <c r="H290" s="678">
        <v>0</v>
      </c>
      <c r="I290" s="679">
        <v>31106</v>
      </c>
      <c r="J290" s="678">
        <v>35132</v>
      </c>
      <c r="K290" s="679">
        <v>8077</v>
      </c>
      <c r="L290" s="678">
        <v>10169</v>
      </c>
      <c r="M290" s="679">
        <v>35963</v>
      </c>
      <c r="N290" s="678">
        <v>40922</v>
      </c>
      <c r="O290" s="694">
        <f t="shared" si="116"/>
        <v>75146</v>
      </c>
      <c r="P290" s="695">
        <f t="shared" si="132"/>
        <v>2504.8666666666668</v>
      </c>
      <c r="Q290" s="696">
        <f t="shared" si="117"/>
        <v>86223</v>
      </c>
      <c r="R290" s="697">
        <f t="shared" si="118"/>
        <v>2874.1</v>
      </c>
      <c r="S290" s="679"/>
      <c r="T290" s="678"/>
      <c r="U290" s="694">
        <f t="shared" si="119"/>
        <v>0</v>
      </c>
      <c r="V290" s="698">
        <f t="shared" si="120"/>
        <v>0</v>
      </c>
      <c r="W290" s="679"/>
      <c r="X290" s="678"/>
      <c r="Y290" s="679"/>
      <c r="Z290" s="678"/>
      <c r="AA290" s="679"/>
      <c r="AB290" s="678"/>
      <c r="AC290" s="679"/>
      <c r="AD290" s="678"/>
      <c r="AE290" s="694">
        <f t="shared" si="121"/>
        <v>0</v>
      </c>
      <c r="AF290" s="695">
        <f t="shared" si="122"/>
        <v>0</v>
      </c>
      <c r="AG290" s="696">
        <f t="shared" si="123"/>
        <v>0</v>
      </c>
      <c r="AH290" s="697">
        <f t="shared" si="124"/>
        <v>0</v>
      </c>
      <c r="AI290" s="679"/>
      <c r="AJ290" s="678"/>
      <c r="AK290" s="694">
        <f t="shared" si="125"/>
        <v>0</v>
      </c>
      <c r="AL290" s="698">
        <f t="shared" si="126"/>
        <v>0</v>
      </c>
      <c r="AM290" s="679"/>
      <c r="AN290" s="678"/>
      <c r="AO290" s="679"/>
      <c r="AP290" s="678"/>
      <c r="AQ290" s="679"/>
      <c r="AR290" s="678"/>
      <c r="AS290" s="679"/>
      <c r="AT290" s="678"/>
      <c r="AU290" s="699">
        <f t="shared" si="127"/>
        <v>0</v>
      </c>
      <c r="AV290" s="695">
        <f t="shared" si="133"/>
        <v>0</v>
      </c>
      <c r="AW290" s="696">
        <f t="shared" si="128"/>
        <v>0</v>
      </c>
      <c r="AX290" s="697">
        <f t="shared" si="129"/>
        <v>0</v>
      </c>
      <c r="AY290" s="700">
        <f t="shared" si="130"/>
        <v>2504.8666666666668</v>
      </c>
      <c r="AZ290" s="697">
        <f t="shared" si="131"/>
        <v>2874.1</v>
      </c>
      <c r="BA290" s="680"/>
    </row>
    <row r="291" spans="1:53">
      <c r="A291" s="514" t="s">
        <v>173</v>
      </c>
      <c r="B291" s="296" t="s">
        <v>191</v>
      </c>
      <c r="C291" s="289">
        <v>162706</v>
      </c>
      <c r="D291" s="299">
        <v>9</v>
      </c>
      <c r="E291" s="148" t="s">
        <v>393</v>
      </c>
      <c r="F291" s="149" t="s">
        <v>393</v>
      </c>
      <c r="G291" s="679">
        <v>0</v>
      </c>
      <c r="H291" s="678">
        <v>1390</v>
      </c>
      <c r="I291" s="679">
        <v>47134</v>
      </c>
      <c r="J291" s="678">
        <v>51117</v>
      </c>
      <c r="K291" s="679">
        <v>9359</v>
      </c>
      <c r="L291" s="678">
        <v>9746.5</v>
      </c>
      <c r="M291" s="679">
        <v>61178</v>
      </c>
      <c r="N291" s="678">
        <v>61208.5</v>
      </c>
      <c r="O291" s="694">
        <f t="shared" si="116"/>
        <v>117671</v>
      </c>
      <c r="P291" s="695">
        <f t="shared" si="132"/>
        <v>3922.3666666666668</v>
      </c>
      <c r="Q291" s="696">
        <f t="shared" si="117"/>
        <v>123462</v>
      </c>
      <c r="R291" s="697">
        <f t="shared" si="118"/>
        <v>4115.3999999999996</v>
      </c>
      <c r="S291" s="679"/>
      <c r="T291" s="678"/>
      <c r="U291" s="694">
        <f t="shared" si="119"/>
        <v>0</v>
      </c>
      <c r="V291" s="698">
        <f t="shared" si="120"/>
        <v>0</v>
      </c>
      <c r="W291" s="679"/>
      <c r="X291" s="678"/>
      <c r="Y291" s="679"/>
      <c r="Z291" s="678"/>
      <c r="AA291" s="679"/>
      <c r="AB291" s="678"/>
      <c r="AC291" s="679"/>
      <c r="AD291" s="678"/>
      <c r="AE291" s="694">
        <f t="shared" si="121"/>
        <v>0</v>
      </c>
      <c r="AF291" s="695">
        <f t="shared" si="122"/>
        <v>0</v>
      </c>
      <c r="AG291" s="696">
        <f t="shared" si="123"/>
        <v>0</v>
      </c>
      <c r="AH291" s="697">
        <f t="shared" si="124"/>
        <v>0</v>
      </c>
      <c r="AI291" s="679"/>
      <c r="AJ291" s="678"/>
      <c r="AK291" s="694">
        <f t="shared" si="125"/>
        <v>0</v>
      </c>
      <c r="AL291" s="698">
        <f t="shared" si="126"/>
        <v>0</v>
      </c>
      <c r="AM291" s="679"/>
      <c r="AN291" s="678"/>
      <c r="AO291" s="679"/>
      <c r="AP291" s="678"/>
      <c r="AQ291" s="679"/>
      <c r="AR291" s="678"/>
      <c r="AS291" s="679"/>
      <c r="AT291" s="678"/>
      <c r="AU291" s="699">
        <f t="shared" si="127"/>
        <v>0</v>
      </c>
      <c r="AV291" s="695">
        <f t="shared" si="133"/>
        <v>0</v>
      </c>
      <c r="AW291" s="696">
        <f t="shared" si="128"/>
        <v>0</v>
      </c>
      <c r="AX291" s="697">
        <f t="shared" si="129"/>
        <v>0</v>
      </c>
      <c r="AY291" s="700">
        <f t="shared" si="130"/>
        <v>3922.3666666666668</v>
      </c>
      <c r="AZ291" s="697">
        <f t="shared" si="131"/>
        <v>4115.3999999999996</v>
      </c>
      <c r="BA291" s="680"/>
    </row>
    <row r="292" spans="1:53">
      <c r="A292" s="514" t="s">
        <v>173</v>
      </c>
      <c r="B292" s="296" t="s">
        <v>192</v>
      </c>
      <c r="C292" s="289">
        <v>162779</v>
      </c>
      <c r="D292" s="299">
        <v>9</v>
      </c>
      <c r="E292" s="148" t="s">
        <v>393</v>
      </c>
      <c r="F292" s="149" t="s">
        <v>393</v>
      </c>
      <c r="G292" s="679">
        <v>4048</v>
      </c>
      <c r="H292" s="678">
        <v>4403</v>
      </c>
      <c r="I292" s="679">
        <v>58216</v>
      </c>
      <c r="J292" s="678">
        <v>64017</v>
      </c>
      <c r="K292" s="679">
        <v>13313</v>
      </c>
      <c r="L292" s="678">
        <v>14561</v>
      </c>
      <c r="M292" s="679">
        <v>68759</v>
      </c>
      <c r="N292" s="678">
        <v>76903</v>
      </c>
      <c r="O292" s="694">
        <f t="shared" si="116"/>
        <v>144336</v>
      </c>
      <c r="P292" s="695">
        <f t="shared" si="132"/>
        <v>4811.2</v>
      </c>
      <c r="Q292" s="696">
        <f t="shared" si="117"/>
        <v>159884</v>
      </c>
      <c r="R292" s="697">
        <f t="shared" si="118"/>
        <v>5329.4666666666662</v>
      </c>
      <c r="S292" s="679"/>
      <c r="T292" s="678"/>
      <c r="U292" s="694">
        <f t="shared" si="119"/>
        <v>0</v>
      </c>
      <c r="V292" s="698">
        <f t="shared" si="120"/>
        <v>0</v>
      </c>
      <c r="W292" s="679"/>
      <c r="X292" s="678"/>
      <c r="Y292" s="679"/>
      <c r="Z292" s="678"/>
      <c r="AA292" s="679"/>
      <c r="AB292" s="678"/>
      <c r="AC292" s="679"/>
      <c r="AD292" s="678"/>
      <c r="AE292" s="694">
        <f t="shared" si="121"/>
        <v>0</v>
      </c>
      <c r="AF292" s="695">
        <f t="shared" si="122"/>
        <v>0</v>
      </c>
      <c r="AG292" s="696">
        <f t="shared" si="123"/>
        <v>0</v>
      </c>
      <c r="AH292" s="697">
        <f t="shared" si="124"/>
        <v>0</v>
      </c>
      <c r="AI292" s="679"/>
      <c r="AJ292" s="678"/>
      <c r="AK292" s="694">
        <f t="shared" si="125"/>
        <v>0</v>
      </c>
      <c r="AL292" s="698">
        <f t="shared" si="126"/>
        <v>0</v>
      </c>
      <c r="AM292" s="679"/>
      <c r="AN292" s="678"/>
      <c r="AO292" s="679"/>
      <c r="AP292" s="678"/>
      <c r="AQ292" s="679"/>
      <c r="AR292" s="678"/>
      <c r="AS292" s="679"/>
      <c r="AT292" s="678"/>
      <c r="AU292" s="699">
        <f t="shared" si="127"/>
        <v>0</v>
      </c>
      <c r="AV292" s="695">
        <f t="shared" si="133"/>
        <v>0</v>
      </c>
      <c r="AW292" s="696">
        <f t="shared" si="128"/>
        <v>0</v>
      </c>
      <c r="AX292" s="697">
        <f t="shared" si="129"/>
        <v>0</v>
      </c>
      <c r="AY292" s="700">
        <f t="shared" si="130"/>
        <v>4811.2</v>
      </c>
      <c r="AZ292" s="697">
        <f t="shared" si="131"/>
        <v>5329.4666666666662</v>
      </c>
      <c r="BA292" s="680"/>
    </row>
    <row r="293" spans="1:53">
      <c r="A293" s="514" t="s">
        <v>173</v>
      </c>
      <c r="B293" s="166" t="s">
        <v>194</v>
      </c>
      <c r="C293" s="289">
        <v>405872</v>
      </c>
      <c r="D293" s="299">
        <v>10</v>
      </c>
      <c r="E293" s="148" t="s">
        <v>393</v>
      </c>
      <c r="F293" s="149" t="s">
        <v>393</v>
      </c>
      <c r="G293" s="679">
        <v>1486</v>
      </c>
      <c r="H293" s="678">
        <v>1706</v>
      </c>
      <c r="I293" s="679">
        <v>29581</v>
      </c>
      <c r="J293" s="678">
        <v>29534</v>
      </c>
      <c r="K293" s="679">
        <v>5659</v>
      </c>
      <c r="L293" s="678">
        <v>6192</v>
      </c>
      <c r="M293" s="679">
        <v>32916</v>
      </c>
      <c r="N293" s="678">
        <v>36626</v>
      </c>
      <c r="O293" s="694">
        <f t="shared" si="116"/>
        <v>69642</v>
      </c>
      <c r="P293" s="695">
        <f t="shared" si="132"/>
        <v>2321.4</v>
      </c>
      <c r="Q293" s="696">
        <f t="shared" si="117"/>
        <v>74058</v>
      </c>
      <c r="R293" s="697">
        <f t="shared" si="118"/>
        <v>2468.6</v>
      </c>
      <c r="S293" s="679"/>
      <c r="T293" s="678"/>
      <c r="U293" s="694">
        <f t="shared" si="119"/>
        <v>0</v>
      </c>
      <c r="V293" s="698">
        <f t="shared" si="120"/>
        <v>0</v>
      </c>
      <c r="W293" s="679"/>
      <c r="X293" s="678"/>
      <c r="Y293" s="679"/>
      <c r="Z293" s="678"/>
      <c r="AA293" s="679"/>
      <c r="AB293" s="678"/>
      <c r="AC293" s="679"/>
      <c r="AD293" s="678"/>
      <c r="AE293" s="694">
        <f t="shared" si="121"/>
        <v>0</v>
      </c>
      <c r="AF293" s="695">
        <f t="shared" si="122"/>
        <v>0</v>
      </c>
      <c r="AG293" s="696">
        <f t="shared" si="123"/>
        <v>0</v>
      </c>
      <c r="AH293" s="697">
        <f t="shared" si="124"/>
        <v>0</v>
      </c>
      <c r="AI293" s="679"/>
      <c r="AJ293" s="678"/>
      <c r="AK293" s="694">
        <f t="shared" si="125"/>
        <v>0</v>
      </c>
      <c r="AL293" s="698">
        <f t="shared" si="126"/>
        <v>0</v>
      </c>
      <c r="AM293" s="679"/>
      <c r="AN293" s="678"/>
      <c r="AO293" s="679"/>
      <c r="AP293" s="678"/>
      <c r="AQ293" s="679"/>
      <c r="AR293" s="678"/>
      <c r="AS293" s="679"/>
      <c r="AT293" s="678"/>
      <c r="AU293" s="699">
        <f t="shared" si="127"/>
        <v>0</v>
      </c>
      <c r="AV293" s="695">
        <f t="shared" si="133"/>
        <v>0</v>
      </c>
      <c r="AW293" s="696">
        <f t="shared" si="128"/>
        <v>0</v>
      </c>
      <c r="AX293" s="697">
        <f t="shared" si="129"/>
        <v>0</v>
      </c>
      <c r="AY293" s="700">
        <f t="shared" si="130"/>
        <v>2321.4</v>
      </c>
      <c r="AZ293" s="697">
        <f t="shared" si="131"/>
        <v>2468.6</v>
      </c>
      <c r="BA293" s="680"/>
    </row>
    <row r="294" spans="1:53">
      <c r="A294" s="514" t="s">
        <v>173</v>
      </c>
      <c r="B294" s="296" t="s">
        <v>195</v>
      </c>
      <c r="C294" s="289">
        <v>162104</v>
      </c>
      <c r="D294" s="299">
        <v>10</v>
      </c>
      <c r="E294" s="148" t="s">
        <v>393</v>
      </c>
      <c r="F294" s="149" t="s">
        <v>393</v>
      </c>
      <c r="G294" s="679">
        <v>0</v>
      </c>
      <c r="H294" s="678">
        <v>0</v>
      </c>
      <c r="I294" s="679">
        <v>17758</v>
      </c>
      <c r="J294" s="678">
        <v>20000.5</v>
      </c>
      <c r="K294" s="679">
        <v>3332</v>
      </c>
      <c r="L294" s="678">
        <v>3332</v>
      </c>
      <c r="M294" s="679">
        <v>21604</v>
      </c>
      <c r="N294" s="678">
        <v>21589</v>
      </c>
      <c r="O294" s="694">
        <f t="shared" si="116"/>
        <v>42694</v>
      </c>
      <c r="P294" s="695">
        <f t="shared" si="132"/>
        <v>1423.1333333333334</v>
      </c>
      <c r="Q294" s="696">
        <f t="shared" si="117"/>
        <v>44921.5</v>
      </c>
      <c r="R294" s="697">
        <f t="shared" si="118"/>
        <v>1497.3833333333334</v>
      </c>
      <c r="S294" s="679"/>
      <c r="T294" s="678"/>
      <c r="U294" s="694">
        <f t="shared" si="119"/>
        <v>0</v>
      </c>
      <c r="V294" s="698">
        <f t="shared" si="120"/>
        <v>0</v>
      </c>
      <c r="W294" s="679"/>
      <c r="X294" s="678"/>
      <c r="Y294" s="679"/>
      <c r="Z294" s="678"/>
      <c r="AA294" s="679"/>
      <c r="AB294" s="678"/>
      <c r="AC294" s="679"/>
      <c r="AD294" s="678"/>
      <c r="AE294" s="694">
        <f t="shared" si="121"/>
        <v>0</v>
      </c>
      <c r="AF294" s="695">
        <f t="shared" si="122"/>
        <v>0</v>
      </c>
      <c r="AG294" s="696">
        <f t="shared" si="123"/>
        <v>0</v>
      </c>
      <c r="AH294" s="697">
        <f t="shared" si="124"/>
        <v>0</v>
      </c>
      <c r="AI294" s="679"/>
      <c r="AJ294" s="678"/>
      <c r="AK294" s="694">
        <f t="shared" si="125"/>
        <v>0</v>
      </c>
      <c r="AL294" s="698">
        <f t="shared" si="126"/>
        <v>0</v>
      </c>
      <c r="AM294" s="679"/>
      <c r="AN294" s="678"/>
      <c r="AO294" s="679"/>
      <c r="AP294" s="678"/>
      <c r="AQ294" s="679"/>
      <c r="AR294" s="678"/>
      <c r="AS294" s="679"/>
      <c r="AT294" s="678"/>
      <c r="AU294" s="699">
        <f t="shared" si="127"/>
        <v>0</v>
      </c>
      <c r="AV294" s="695">
        <f t="shared" si="133"/>
        <v>0</v>
      </c>
      <c r="AW294" s="696">
        <f t="shared" si="128"/>
        <v>0</v>
      </c>
      <c r="AX294" s="697">
        <f t="shared" si="129"/>
        <v>0</v>
      </c>
      <c r="AY294" s="700">
        <f t="shared" si="130"/>
        <v>1423.1333333333334</v>
      </c>
      <c r="AZ294" s="697">
        <f t="shared" si="131"/>
        <v>1497.3833333333334</v>
      </c>
      <c r="BA294" s="680"/>
    </row>
    <row r="295" spans="1:53">
      <c r="A295" s="514" t="s">
        <v>173</v>
      </c>
      <c r="B295" s="296" t="s">
        <v>196</v>
      </c>
      <c r="C295" s="289">
        <v>162168</v>
      </c>
      <c r="D295" s="299">
        <v>10</v>
      </c>
      <c r="E295" s="148" t="s">
        <v>393</v>
      </c>
      <c r="F295" s="149" t="s">
        <v>393</v>
      </c>
      <c r="G295" s="679">
        <v>142</v>
      </c>
      <c r="H295" s="678">
        <v>36</v>
      </c>
      <c r="I295" s="679">
        <v>19939</v>
      </c>
      <c r="J295" s="678">
        <v>21854</v>
      </c>
      <c r="K295" s="679">
        <v>2553</v>
      </c>
      <c r="L295" s="678">
        <v>3110</v>
      </c>
      <c r="M295" s="679">
        <v>22567</v>
      </c>
      <c r="N295" s="678">
        <v>25506</v>
      </c>
      <c r="O295" s="694">
        <f t="shared" si="116"/>
        <v>45201</v>
      </c>
      <c r="P295" s="695">
        <f t="shared" si="132"/>
        <v>1506.7</v>
      </c>
      <c r="Q295" s="696">
        <f t="shared" si="117"/>
        <v>50506</v>
      </c>
      <c r="R295" s="697">
        <f t="shared" si="118"/>
        <v>1683.5333333333333</v>
      </c>
      <c r="S295" s="679"/>
      <c r="T295" s="678"/>
      <c r="U295" s="694">
        <f t="shared" si="119"/>
        <v>0</v>
      </c>
      <c r="V295" s="698">
        <f t="shared" si="120"/>
        <v>0</v>
      </c>
      <c r="W295" s="679"/>
      <c r="X295" s="678"/>
      <c r="Y295" s="679"/>
      <c r="Z295" s="678"/>
      <c r="AA295" s="679"/>
      <c r="AB295" s="678"/>
      <c r="AC295" s="679"/>
      <c r="AD295" s="678"/>
      <c r="AE295" s="694">
        <f t="shared" si="121"/>
        <v>0</v>
      </c>
      <c r="AF295" s="695">
        <f t="shared" si="122"/>
        <v>0</v>
      </c>
      <c r="AG295" s="696">
        <f t="shared" si="123"/>
        <v>0</v>
      </c>
      <c r="AH295" s="697">
        <f t="shared" si="124"/>
        <v>0</v>
      </c>
      <c r="AI295" s="679"/>
      <c r="AJ295" s="678"/>
      <c r="AK295" s="694">
        <f t="shared" si="125"/>
        <v>0</v>
      </c>
      <c r="AL295" s="698">
        <f t="shared" si="126"/>
        <v>0</v>
      </c>
      <c r="AM295" s="679"/>
      <c r="AN295" s="678"/>
      <c r="AO295" s="679"/>
      <c r="AP295" s="678"/>
      <c r="AQ295" s="679"/>
      <c r="AR295" s="678"/>
      <c r="AS295" s="679"/>
      <c r="AT295" s="678"/>
      <c r="AU295" s="699">
        <f t="shared" si="127"/>
        <v>0</v>
      </c>
      <c r="AV295" s="695">
        <f t="shared" si="133"/>
        <v>0</v>
      </c>
      <c r="AW295" s="696">
        <f t="shared" si="128"/>
        <v>0</v>
      </c>
      <c r="AX295" s="697">
        <f t="shared" si="129"/>
        <v>0</v>
      </c>
      <c r="AY295" s="700">
        <f t="shared" si="130"/>
        <v>1506.7</v>
      </c>
      <c r="AZ295" s="697">
        <f t="shared" si="131"/>
        <v>1683.5333333333333</v>
      </c>
      <c r="BA295" s="680"/>
    </row>
    <row r="296" spans="1:53">
      <c r="A296" s="514" t="s">
        <v>173</v>
      </c>
      <c r="B296" s="296" t="s">
        <v>197</v>
      </c>
      <c r="C296" s="289">
        <v>162609</v>
      </c>
      <c r="D296" s="299">
        <v>10</v>
      </c>
      <c r="E296" s="148" t="s">
        <v>393</v>
      </c>
      <c r="F296" s="149" t="s">
        <v>393</v>
      </c>
      <c r="G296" s="679">
        <v>144</v>
      </c>
      <c r="H296" s="678">
        <v>191</v>
      </c>
      <c r="I296" s="679">
        <v>8480.75</v>
      </c>
      <c r="J296" s="678">
        <v>7834.25</v>
      </c>
      <c r="K296" s="679">
        <v>567</v>
      </c>
      <c r="L296" s="678">
        <v>608</v>
      </c>
      <c r="M296" s="679">
        <v>9561.75</v>
      </c>
      <c r="N296" s="678">
        <v>10460.299999999999</v>
      </c>
      <c r="O296" s="694">
        <f t="shared" si="116"/>
        <v>18753.5</v>
      </c>
      <c r="P296" s="695">
        <f t="shared" si="132"/>
        <v>625.11666666666667</v>
      </c>
      <c r="Q296" s="696">
        <f t="shared" si="117"/>
        <v>19093.55</v>
      </c>
      <c r="R296" s="697">
        <f t="shared" si="118"/>
        <v>636.4516666666666</v>
      </c>
      <c r="S296" s="679"/>
      <c r="T296" s="678"/>
      <c r="U296" s="694">
        <f t="shared" si="119"/>
        <v>0</v>
      </c>
      <c r="V296" s="698">
        <f t="shared" si="120"/>
        <v>0</v>
      </c>
      <c r="W296" s="679"/>
      <c r="X296" s="678"/>
      <c r="Y296" s="679"/>
      <c r="Z296" s="678"/>
      <c r="AA296" s="679"/>
      <c r="AB296" s="678"/>
      <c r="AC296" s="679"/>
      <c r="AD296" s="678"/>
      <c r="AE296" s="694">
        <f t="shared" si="121"/>
        <v>0</v>
      </c>
      <c r="AF296" s="695">
        <f t="shared" si="122"/>
        <v>0</v>
      </c>
      <c r="AG296" s="696">
        <f t="shared" si="123"/>
        <v>0</v>
      </c>
      <c r="AH296" s="697">
        <f t="shared" si="124"/>
        <v>0</v>
      </c>
      <c r="AI296" s="679"/>
      <c r="AJ296" s="678"/>
      <c r="AK296" s="694">
        <f t="shared" si="125"/>
        <v>0</v>
      </c>
      <c r="AL296" s="698">
        <f t="shared" si="126"/>
        <v>0</v>
      </c>
      <c r="AM296" s="679"/>
      <c r="AN296" s="678"/>
      <c r="AO296" s="679"/>
      <c r="AP296" s="678"/>
      <c r="AQ296" s="679"/>
      <c r="AR296" s="678"/>
      <c r="AS296" s="679"/>
      <c r="AT296" s="678"/>
      <c r="AU296" s="699">
        <f t="shared" si="127"/>
        <v>0</v>
      </c>
      <c r="AV296" s="695">
        <f t="shared" si="133"/>
        <v>0</v>
      </c>
      <c r="AW296" s="696">
        <f t="shared" si="128"/>
        <v>0</v>
      </c>
      <c r="AX296" s="697">
        <f t="shared" si="129"/>
        <v>0</v>
      </c>
      <c r="AY296" s="700">
        <f t="shared" si="130"/>
        <v>625.11666666666667</v>
      </c>
      <c r="AZ296" s="697">
        <f t="shared" si="131"/>
        <v>636.4516666666666</v>
      </c>
      <c r="BA296" s="680"/>
    </row>
    <row r="297" spans="1:53">
      <c r="A297" s="514" t="s">
        <v>173</v>
      </c>
      <c r="B297" s="166" t="s">
        <v>199</v>
      </c>
      <c r="C297" s="289">
        <v>164313</v>
      </c>
      <c r="D297" s="299">
        <v>10</v>
      </c>
      <c r="E297" s="148" t="s">
        <v>393</v>
      </c>
      <c r="F297" s="149" t="s">
        <v>393</v>
      </c>
      <c r="G297" s="679">
        <v>0</v>
      </c>
      <c r="H297" s="678">
        <v>0</v>
      </c>
      <c r="I297" s="679">
        <v>26286</v>
      </c>
      <c r="J297" s="678">
        <v>30124</v>
      </c>
      <c r="K297" s="679">
        <v>7405</v>
      </c>
      <c r="L297" s="678">
        <v>8049</v>
      </c>
      <c r="M297" s="679">
        <v>32298</v>
      </c>
      <c r="N297" s="678">
        <v>35520</v>
      </c>
      <c r="O297" s="694">
        <f t="shared" si="116"/>
        <v>65989</v>
      </c>
      <c r="P297" s="695">
        <f t="shared" si="132"/>
        <v>2199.6333333333332</v>
      </c>
      <c r="Q297" s="696">
        <f t="shared" si="117"/>
        <v>73693</v>
      </c>
      <c r="R297" s="697">
        <f t="shared" si="118"/>
        <v>2456.4333333333334</v>
      </c>
      <c r="S297" s="679"/>
      <c r="T297" s="678"/>
      <c r="U297" s="694">
        <f t="shared" si="119"/>
        <v>0</v>
      </c>
      <c r="V297" s="698">
        <f t="shared" si="120"/>
        <v>0</v>
      </c>
      <c r="W297" s="679"/>
      <c r="X297" s="678"/>
      <c r="Y297" s="679"/>
      <c r="Z297" s="678"/>
      <c r="AA297" s="679"/>
      <c r="AB297" s="678"/>
      <c r="AC297" s="679"/>
      <c r="AD297" s="678"/>
      <c r="AE297" s="694">
        <f t="shared" si="121"/>
        <v>0</v>
      </c>
      <c r="AF297" s="695">
        <f t="shared" si="122"/>
        <v>0</v>
      </c>
      <c r="AG297" s="696">
        <f t="shared" si="123"/>
        <v>0</v>
      </c>
      <c r="AH297" s="697">
        <f t="shared" si="124"/>
        <v>0</v>
      </c>
      <c r="AI297" s="679"/>
      <c r="AJ297" s="678"/>
      <c r="AK297" s="694">
        <f t="shared" si="125"/>
        <v>0</v>
      </c>
      <c r="AL297" s="698">
        <f t="shared" si="126"/>
        <v>0</v>
      </c>
      <c r="AM297" s="679"/>
      <c r="AN297" s="678"/>
      <c r="AO297" s="679"/>
      <c r="AP297" s="678"/>
      <c r="AQ297" s="679"/>
      <c r="AR297" s="678"/>
      <c r="AS297" s="679"/>
      <c r="AT297" s="678"/>
      <c r="AU297" s="699">
        <f t="shared" si="127"/>
        <v>0</v>
      </c>
      <c r="AV297" s="695">
        <f t="shared" si="133"/>
        <v>0</v>
      </c>
      <c r="AW297" s="696">
        <f t="shared" si="128"/>
        <v>0</v>
      </c>
      <c r="AX297" s="697">
        <f t="shared" si="129"/>
        <v>0</v>
      </c>
      <c r="AY297" s="700">
        <f t="shared" si="130"/>
        <v>2199.6333333333332</v>
      </c>
      <c r="AZ297" s="697">
        <f t="shared" si="131"/>
        <v>2456.4333333333334</v>
      </c>
      <c r="BA297" s="680"/>
    </row>
    <row r="298" spans="1:53">
      <c r="A298" s="517" t="s">
        <v>638</v>
      </c>
      <c r="B298" s="290" t="s">
        <v>641</v>
      </c>
      <c r="C298" s="297">
        <v>176080</v>
      </c>
      <c r="D298" s="153">
        <v>1</v>
      </c>
      <c r="E298" s="148" t="s">
        <v>393</v>
      </c>
      <c r="F298" s="149" t="s">
        <v>393</v>
      </c>
      <c r="G298" s="679"/>
      <c r="H298" s="678"/>
      <c r="I298" s="679">
        <v>158091</v>
      </c>
      <c r="J298" s="678">
        <v>169888</v>
      </c>
      <c r="K298" s="679">
        <v>35135</v>
      </c>
      <c r="L298" s="678">
        <v>37546</v>
      </c>
      <c r="M298" s="679">
        <v>182510</v>
      </c>
      <c r="N298" s="678">
        <v>191418</v>
      </c>
      <c r="O298" s="694">
        <f t="shared" si="116"/>
        <v>375736</v>
      </c>
      <c r="P298" s="695">
        <f t="shared" si="132"/>
        <v>12524.533333333333</v>
      </c>
      <c r="Q298" s="696">
        <f t="shared" si="117"/>
        <v>398852</v>
      </c>
      <c r="R298" s="697">
        <f t="shared" si="118"/>
        <v>13295.066666666668</v>
      </c>
      <c r="S298" s="686"/>
      <c r="T298" s="685"/>
      <c r="U298" s="694">
        <f t="shared" si="119"/>
        <v>0</v>
      </c>
      <c r="V298" s="698">
        <f t="shared" si="120"/>
        <v>0</v>
      </c>
      <c r="W298" s="679"/>
      <c r="X298" s="678"/>
      <c r="Y298" s="679"/>
      <c r="Z298" s="678"/>
      <c r="AA298" s="679"/>
      <c r="AB298" s="678"/>
      <c r="AC298" s="679"/>
      <c r="AD298" s="678"/>
      <c r="AE298" s="694">
        <f t="shared" si="121"/>
        <v>0</v>
      </c>
      <c r="AF298" s="695">
        <f t="shared" si="122"/>
        <v>0</v>
      </c>
      <c r="AG298" s="696">
        <f t="shared" si="123"/>
        <v>0</v>
      </c>
      <c r="AH298" s="697">
        <f t="shared" si="124"/>
        <v>0</v>
      </c>
      <c r="AI298" s="679"/>
      <c r="AJ298" s="678"/>
      <c r="AK298" s="694">
        <f t="shared" si="125"/>
        <v>0</v>
      </c>
      <c r="AL298" s="698">
        <f t="shared" si="126"/>
        <v>0</v>
      </c>
      <c r="AM298" s="679"/>
      <c r="AN298" s="678"/>
      <c r="AO298" s="679">
        <v>22695</v>
      </c>
      <c r="AP298" s="678">
        <v>22961</v>
      </c>
      <c r="AQ298" s="679">
        <v>12324</v>
      </c>
      <c r="AR298" s="678">
        <v>12262</v>
      </c>
      <c r="AS298" s="679">
        <v>23540</v>
      </c>
      <c r="AT298" s="678">
        <v>25302</v>
      </c>
      <c r="AU298" s="699">
        <f t="shared" si="127"/>
        <v>58559</v>
      </c>
      <c r="AV298" s="695">
        <f t="shared" si="133"/>
        <v>2439.9583333333335</v>
      </c>
      <c r="AW298" s="696">
        <f t="shared" si="128"/>
        <v>60525</v>
      </c>
      <c r="AX298" s="697">
        <f t="shared" si="129"/>
        <v>2521.875</v>
      </c>
      <c r="AY298" s="700">
        <f t="shared" si="130"/>
        <v>14964.491666666667</v>
      </c>
      <c r="AZ298" s="697">
        <f t="shared" si="131"/>
        <v>15816.941666666668</v>
      </c>
      <c r="BA298" s="680"/>
    </row>
    <row r="299" spans="1:53">
      <c r="A299" s="517" t="s">
        <v>638</v>
      </c>
      <c r="B299" s="290" t="s">
        <v>639</v>
      </c>
      <c r="C299" s="297">
        <v>176372</v>
      </c>
      <c r="D299" s="153">
        <v>1</v>
      </c>
      <c r="E299" s="148" t="s">
        <v>393</v>
      </c>
      <c r="F299" s="149" t="s">
        <v>393</v>
      </c>
      <c r="G299" s="679"/>
      <c r="H299" s="678"/>
      <c r="I299" s="679">
        <v>134464</v>
      </c>
      <c r="J299" s="678">
        <v>138867</v>
      </c>
      <c r="K299" s="679">
        <v>33946.5</v>
      </c>
      <c r="L299" s="678">
        <v>34516</v>
      </c>
      <c r="M299" s="679">
        <v>152048</v>
      </c>
      <c r="N299" s="678">
        <v>168476</v>
      </c>
      <c r="O299" s="694">
        <f t="shared" si="116"/>
        <v>320458.5</v>
      </c>
      <c r="P299" s="695">
        <f t="shared" si="132"/>
        <v>10681.95</v>
      </c>
      <c r="Q299" s="696">
        <f t="shared" si="117"/>
        <v>341859</v>
      </c>
      <c r="R299" s="697">
        <f t="shared" si="118"/>
        <v>11395.3</v>
      </c>
      <c r="S299" s="686"/>
      <c r="T299" s="685"/>
      <c r="U299" s="694">
        <f t="shared" si="119"/>
        <v>0</v>
      </c>
      <c r="V299" s="698">
        <f t="shared" si="120"/>
        <v>0</v>
      </c>
      <c r="W299" s="679"/>
      <c r="X299" s="678"/>
      <c r="Y299" s="679"/>
      <c r="Z299" s="678"/>
      <c r="AA299" s="679"/>
      <c r="AB299" s="678"/>
      <c r="AC299" s="679"/>
      <c r="AD299" s="678"/>
      <c r="AE299" s="694">
        <f t="shared" si="121"/>
        <v>0</v>
      </c>
      <c r="AF299" s="695">
        <f t="shared" si="122"/>
        <v>0</v>
      </c>
      <c r="AG299" s="696">
        <f t="shared" si="123"/>
        <v>0</v>
      </c>
      <c r="AH299" s="697">
        <f t="shared" si="124"/>
        <v>0</v>
      </c>
      <c r="AI299" s="679"/>
      <c r="AJ299" s="678"/>
      <c r="AK299" s="694">
        <f t="shared" si="125"/>
        <v>0</v>
      </c>
      <c r="AL299" s="698">
        <f t="shared" si="126"/>
        <v>0</v>
      </c>
      <c r="AM299" s="679"/>
      <c r="AN299" s="678"/>
      <c r="AO299" s="679">
        <v>21072</v>
      </c>
      <c r="AP299" s="678">
        <v>21383</v>
      </c>
      <c r="AQ299" s="679">
        <v>15700</v>
      </c>
      <c r="AR299" s="678">
        <v>16263</v>
      </c>
      <c r="AS299" s="679">
        <v>21617</v>
      </c>
      <c r="AT299" s="678">
        <v>23630</v>
      </c>
      <c r="AU299" s="699">
        <f t="shared" si="127"/>
        <v>58389</v>
      </c>
      <c r="AV299" s="695">
        <f t="shared" si="133"/>
        <v>2432.875</v>
      </c>
      <c r="AW299" s="696">
        <f t="shared" si="128"/>
        <v>61276</v>
      </c>
      <c r="AX299" s="697">
        <f t="shared" si="129"/>
        <v>2553.1666666666665</v>
      </c>
      <c r="AY299" s="700">
        <f t="shared" si="130"/>
        <v>13114.825000000001</v>
      </c>
      <c r="AZ299" s="697">
        <f t="shared" si="131"/>
        <v>13948.466666666665</v>
      </c>
      <c r="BA299" s="680"/>
    </row>
    <row r="300" spans="1:53">
      <c r="A300" s="517" t="s">
        <v>638</v>
      </c>
      <c r="B300" s="290" t="s">
        <v>640</v>
      </c>
      <c r="C300" s="297">
        <v>175856</v>
      </c>
      <c r="D300" s="153">
        <v>2</v>
      </c>
      <c r="E300" s="148" t="s">
        <v>393</v>
      </c>
      <c r="F300" s="149" t="s">
        <v>393</v>
      </c>
      <c r="G300" s="679"/>
      <c r="H300" s="678"/>
      <c r="I300" s="679">
        <v>71703.5</v>
      </c>
      <c r="J300" s="678">
        <v>65914</v>
      </c>
      <c r="K300" s="679">
        <v>11963</v>
      </c>
      <c r="L300" s="678">
        <v>12438</v>
      </c>
      <c r="M300" s="679">
        <v>72762.5</v>
      </c>
      <c r="N300" s="678">
        <v>73042</v>
      </c>
      <c r="O300" s="694">
        <f t="shared" si="116"/>
        <v>156429</v>
      </c>
      <c r="P300" s="695">
        <f t="shared" si="132"/>
        <v>5214.3</v>
      </c>
      <c r="Q300" s="696">
        <f t="shared" si="117"/>
        <v>151394</v>
      </c>
      <c r="R300" s="697">
        <f t="shared" si="118"/>
        <v>5046.4666666666662</v>
      </c>
      <c r="S300" s="686"/>
      <c r="T300" s="685"/>
      <c r="U300" s="694">
        <f t="shared" si="119"/>
        <v>0</v>
      </c>
      <c r="V300" s="698">
        <f t="shared" si="120"/>
        <v>0</v>
      </c>
      <c r="W300" s="679"/>
      <c r="X300" s="678"/>
      <c r="Y300" s="679"/>
      <c r="Z300" s="678"/>
      <c r="AA300" s="679"/>
      <c r="AB300" s="678"/>
      <c r="AC300" s="679"/>
      <c r="AD300" s="678"/>
      <c r="AE300" s="694">
        <f t="shared" si="121"/>
        <v>0</v>
      </c>
      <c r="AF300" s="695">
        <f t="shared" si="122"/>
        <v>0</v>
      </c>
      <c r="AG300" s="696">
        <f t="shared" si="123"/>
        <v>0</v>
      </c>
      <c r="AH300" s="697">
        <f t="shared" si="124"/>
        <v>0</v>
      </c>
      <c r="AI300" s="679"/>
      <c r="AJ300" s="678"/>
      <c r="AK300" s="694">
        <f t="shared" si="125"/>
        <v>0</v>
      </c>
      <c r="AL300" s="698">
        <f t="shared" si="126"/>
        <v>0</v>
      </c>
      <c r="AM300" s="679"/>
      <c r="AN300" s="678"/>
      <c r="AO300" s="679">
        <v>11581.5</v>
      </c>
      <c r="AP300" s="678">
        <v>10598</v>
      </c>
      <c r="AQ300" s="679">
        <v>5162</v>
      </c>
      <c r="AR300" s="678">
        <v>4657</v>
      </c>
      <c r="AS300" s="679">
        <v>11278.5</v>
      </c>
      <c r="AT300" s="678">
        <v>12243</v>
      </c>
      <c r="AU300" s="699">
        <f t="shared" si="127"/>
        <v>28022</v>
      </c>
      <c r="AV300" s="695">
        <f t="shared" si="133"/>
        <v>1167.5833333333333</v>
      </c>
      <c r="AW300" s="696">
        <f t="shared" si="128"/>
        <v>27498</v>
      </c>
      <c r="AX300" s="697">
        <f t="shared" si="129"/>
        <v>1145.75</v>
      </c>
      <c r="AY300" s="700">
        <f t="shared" si="130"/>
        <v>6381.8833333333332</v>
      </c>
      <c r="AZ300" s="697">
        <f t="shared" si="131"/>
        <v>6192.2166666666662</v>
      </c>
      <c r="BA300" s="680"/>
    </row>
    <row r="301" spans="1:53">
      <c r="A301" s="517" t="s">
        <v>638</v>
      </c>
      <c r="B301" s="290" t="s">
        <v>642</v>
      </c>
      <c r="C301" s="297">
        <v>176017</v>
      </c>
      <c r="D301" s="153">
        <v>2</v>
      </c>
      <c r="E301" s="148" t="s">
        <v>393</v>
      </c>
      <c r="F301" s="149" t="s">
        <v>393</v>
      </c>
      <c r="G301" s="679"/>
      <c r="H301" s="678"/>
      <c r="I301" s="679">
        <v>162147</v>
      </c>
      <c r="J301" s="678">
        <v>163493</v>
      </c>
      <c r="K301" s="679">
        <v>41185</v>
      </c>
      <c r="L301" s="678">
        <v>42348</v>
      </c>
      <c r="M301" s="679">
        <v>165340</v>
      </c>
      <c r="N301" s="678">
        <v>176405</v>
      </c>
      <c r="O301" s="694">
        <f t="shared" si="116"/>
        <v>368672</v>
      </c>
      <c r="P301" s="695">
        <f t="shared" si="132"/>
        <v>12289.066666666668</v>
      </c>
      <c r="Q301" s="696">
        <f t="shared" si="117"/>
        <v>382246</v>
      </c>
      <c r="R301" s="697">
        <f t="shared" si="118"/>
        <v>12741.533333333333</v>
      </c>
      <c r="S301" s="686"/>
      <c r="T301" s="685"/>
      <c r="U301" s="694">
        <f t="shared" si="119"/>
        <v>0</v>
      </c>
      <c r="V301" s="698">
        <f t="shared" si="120"/>
        <v>0</v>
      </c>
      <c r="W301" s="679"/>
      <c r="X301" s="678"/>
      <c r="Y301" s="679"/>
      <c r="Z301" s="678"/>
      <c r="AA301" s="679"/>
      <c r="AB301" s="678"/>
      <c r="AC301" s="679"/>
      <c r="AD301" s="678"/>
      <c r="AE301" s="694">
        <f t="shared" si="121"/>
        <v>0</v>
      </c>
      <c r="AF301" s="695">
        <f t="shared" si="122"/>
        <v>0</v>
      </c>
      <c r="AG301" s="696">
        <f t="shared" si="123"/>
        <v>0</v>
      </c>
      <c r="AH301" s="697">
        <f t="shared" si="124"/>
        <v>0</v>
      </c>
      <c r="AI301" s="679"/>
      <c r="AJ301" s="678"/>
      <c r="AK301" s="694">
        <f t="shared" si="125"/>
        <v>0</v>
      </c>
      <c r="AL301" s="698">
        <f t="shared" si="126"/>
        <v>0</v>
      </c>
      <c r="AM301" s="679"/>
      <c r="AN301" s="678"/>
      <c r="AO301" s="679">
        <v>23415</v>
      </c>
      <c r="AP301" s="678">
        <v>24014</v>
      </c>
      <c r="AQ301" s="679">
        <v>7421</v>
      </c>
      <c r="AR301" s="678">
        <v>8373</v>
      </c>
      <c r="AS301" s="679">
        <v>24195</v>
      </c>
      <c r="AT301" s="678">
        <v>23781</v>
      </c>
      <c r="AU301" s="699">
        <f t="shared" si="127"/>
        <v>55031</v>
      </c>
      <c r="AV301" s="695">
        <f t="shared" si="133"/>
        <v>2292.9583333333335</v>
      </c>
      <c r="AW301" s="696">
        <f t="shared" si="128"/>
        <v>56168</v>
      </c>
      <c r="AX301" s="697">
        <f t="shared" si="129"/>
        <v>2340.3333333333335</v>
      </c>
      <c r="AY301" s="700">
        <f t="shared" si="130"/>
        <v>14582.025000000001</v>
      </c>
      <c r="AZ301" s="697">
        <f t="shared" si="131"/>
        <v>15081.866666666667</v>
      </c>
      <c r="BA301" s="680"/>
    </row>
    <row r="302" spans="1:53">
      <c r="A302" s="517" t="s">
        <v>638</v>
      </c>
      <c r="B302" s="290" t="s">
        <v>643</v>
      </c>
      <c r="C302" s="297">
        <v>175342</v>
      </c>
      <c r="D302" s="153">
        <v>4</v>
      </c>
      <c r="E302" s="148" t="s">
        <v>393</v>
      </c>
      <c r="F302" s="149" t="s">
        <v>393</v>
      </c>
      <c r="G302" s="679"/>
      <c r="H302" s="678"/>
      <c r="I302" s="679">
        <v>34331</v>
      </c>
      <c r="J302" s="678">
        <v>33348</v>
      </c>
      <c r="K302" s="679">
        <v>8043</v>
      </c>
      <c r="L302" s="678">
        <v>8213</v>
      </c>
      <c r="M302" s="679">
        <v>35545</v>
      </c>
      <c r="N302" s="678">
        <v>35612</v>
      </c>
      <c r="O302" s="694">
        <f t="shared" si="116"/>
        <v>77919</v>
      </c>
      <c r="P302" s="695">
        <f t="shared" si="132"/>
        <v>2597.3000000000002</v>
      </c>
      <c r="Q302" s="696">
        <f t="shared" si="117"/>
        <v>77173</v>
      </c>
      <c r="R302" s="697">
        <f t="shared" si="118"/>
        <v>2572.4333333333334</v>
      </c>
      <c r="S302" s="686"/>
      <c r="T302" s="685"/>
      <c r="U302" s="694">
        <f t="shared" si="119"/>
        <v>0</v>
      </c>
      <c r="V302" s="698">
        <f t="shared" si="120"/>
        <v>0</v>
      </c>
      <c r="W302" s="679"/>
      <c r="X302" s="678"/>
      <c r="Y302" s="679"/>
      <c r="Z302" s="678"/>
      <c r="AA302" s="679"/>
      <c r="AB302" s="678"/>
      <c r="AC302" s="679"/>
      <c r="AD302" s="678"/>
      <c r="AE302" s="694">
        <f t="shared" si="121"/>
        <v>0</v>
      </c>
      <c r="AF302" s="695">
        <f t="shared" si="122"/>
        <v>0</v>
      </c>
      <c r="AG302" s="696">
        <f t="shared" si="123"/>
        <v>0</v>
      </c>
      <c r="AH302" s="697">
        <f t="shared" si="124"/>
        <v>0</v>
      </c>
      <c r="AI302" s="679"/>
      <c r="AJ302" s="678"/>
      <c r="AK302" s="694">
        <f t="shared" si="125"/>
        <v>0</v>
      </c>
      <c r="AL302" s="698">
        <f t="shared" si="126"/>
        <v>0</v>
      </c>
      <c r="AM302" s="679"/>
      <c r="AN302" s="678"/>
      <c r="AO302" s="679">
        <v>4231</v>
      </c>
      <c r="AP302" s="678">
        <v>3932</v>
      </c>
      <c r="AQ302" s="679">
        <v>2851</v>
      </c>
      <c r="AR302" s="678">
        <v>2038</v>
      </c>
      <c r="AS302" s="679">
        <v>4201</v>
      </c>
      <c r="AT302" s="678">
        <v>4283</v>
      </c>
      <c r="AU302" s="699">
        <f t="shared" si="127"/>
        <v>11283</v>
      </c>
      <c r="AV302" s="695">
        <f t="shared" si="133"/>
        <v>470.125</v>
      </c>
      <c r="AW302" s="696">
        <f t="shared" si="128"/>
        <v>10253</v>
      </c>
      <c r="AX302" s="697">
        <f t="shared" si="129"/>
        <v>427.20833333333331</v>
      </c>
      <c r="AY302" s="700">
        <f t="shared" si="130"/>
        <v>3067.4250000000002</v>
      </c>
      <c r="AZ302" s="697">
        <f t="shared" si="131"/>
        <v>2999.6416666666669</v>
      </c>
      <c r="BA302" s="680"/>
    </row>
    <row r="303" spans="1:53">
      <c r="A303" s="517" t="s">
        <v>638</v>
      </c>
      <c r="B303" s="290" t="s">
        <v>644</v>
      </c>
      <c r="C303" s="297">
        <v>175616</v>
      </c>
      <c r="D303" s="153">
        <v>4</v>
      </c>
      <c r="E303" s="148" t="s">
        <v>393</v>
      </c>
      <c r="F303" s="149" t="s">
        <v>393</v>
      </c>
      <c r="G303" s="679"/>
      <c r="H303" s="678"/>
      <c r="I303" s="679">
        <v>36647</v>
      </c>
      <c r="J303" s="678">
        <v>34534</v>
      </c>
      <c r="K303" s="679">
        <v>5842</v>
      </c>
      <c r="L303" s="678">
        <v>5747</v>
      </c>
      <c r="M303" s="679">
        <v>39349</v>
      </c>
      <c r="N303" s="678">
        <v>38299</v>
      </c>
      <c r="O303" s="694">
        <f t="shared" si="116"/>
        <v>81838</v>
      </c>
      <c r="P303" s="695">
        <f t="shared" si="132"/>
        <v>2727.9333333333334</v>
      </c>
      <c r="Q303" s="696">
        <f t="shared" si="117"/>
        <v>78580</v>
      </c>
      <c r="R303" s="697">
        <f t="shared" si="118"/>
        <v>2619.3333333333335</v>
      </c>
      <c r="S303" s="686"/>
      <c r="T303" s="685"/>
      <c r="U303" s="694">
        <f t="shared" si="119"/>
        <v>0</v>
      </c>
      <c r="V303" s="698">
        <f t="shared" si="120"/>
        <v>0</v>
      </c>
      <c r="W303" s="679"/>
      <c r="X303" s="678"/>
      <c r="Y303" s="679"/>
      <c r="Z303" s="678"/>
      <c r="AA303" s="679"/>
      <c r="AB303" s="678"/>
      <c r="AC303" s="679"/>
      <c r="AD303" s="678"/>
      <c r="AE303" s="694">
        <f t="shared" si="121"/>
        <v>0</v>
      </c>
      <c r="AF303" s="695">
        <f t="shared" si="122"/>
        <v>0</v>
      </c>
      <c r="AG303" s="696">
        <f t="shared" si="123"/>
        <v>0</v>
      </c>
      <c r="AH303" s="697">
        <f t="shared" si="124"/>
        <v>0</v>
      </c>
      <c r="AI303" s="679"/>
      <c r="AJ303" s="678"/>
      <c r="AK303" s="694">
        <f t="shared" si="125"/>
        <v>0</v>
      </c>
      <c r="AL303" s="698">
        <f t="shared" si="126"/>
        <v>0</v>
      </c>
      <c r="AM303" s="679"/>
      <c r="AN303" s="678"/>
      <c r="AO303" s="679">
        <v>4626</v>
      </c>
      <c r="AP303" s="678">
        <v>4912</v>
      </c>
      <c r="AQ303" s="679">
        <v>3283</v>
      </c>
      <c r="AR303" s="678">
        <v>3920</v>
      </c>
      <c r="AS303" s="679">
        <v>4908</v>
      </c>
      <c r="AT303" s="678">
        <v>5227</v>
      </c>
      <c r="AU303" s="699">
        <f t="shared" si="127"/>
        <v>12817</v>
      </c>
      <c r="AV303" s="695">
        <f t="shared" si="133"/>
        <v>534.04166666666663</v>
      </c>
      <c r="AW303" s="696">
        <f t="shared" si="128"/>
        <v>14059</v>
      </c>
      <c r="AX303" s="697">
        <f t="shared" si="129"/>
        <v>585.79166666666663</v>
      </c>
      <c r="AY303" s="700">
        <f t="shared" si="130"/>
        <v>3261.9749999999999</v>
      </c>
      <c r="AZ303" s="697">
        <f t="shared" si="131"/>
        <v>3205.125</v>
      </c>
      <c r="BA303" s="680"/>
    </row>
    <row r="304" spans="1:53">
      <c r="A304" s="517" t="s">
        <v>638</v>
      </c>
      <c r="B304" s="518" t="s">
        <v>646</v>
      </c>
      <c r="C304" s="519">
        <v>176044</v>
      </c>
      <c r="D304" s="476">
        <v>4</v>
      </c>
      <c r="E304" s="148" t="s">
        <v>393</v>
      </c>
      <c r="F304" s="149" t="s">
        <v>393</v>
      </c>
      <c r="G304" s="679"/>
      <c r="H304" s="678"/>
      <c r="I304" s="679">
        <v>31044</v>
      </c>
      <c r="J304" s="678">
        <v>30642</v>
      </c>
      <c r="K304" s="679">
        <v>6790</v>
      </c>
      <c r="L304" s="678">
        <v>8098</v>
      </c>
      <c r="M304" s="679">
        <v>32580</v>
      </c>
      <c r="N304" s="678">
        <v>31190</v>
      </c>
      <c r="O304" s="694">
        <f t="shared" si="116"/>
        <v>70414</v>
      </c>
      <c r="P304" s="695">
        <f t="shared" si="132"/>
        <v>2347.1333333333332</v>
      </c>
      <c r="Q304" s="696">
        <f t="shared" si="117"/>
        <v>69930</v>
      </c>
      <c r="R304" s="697">
        <f t="shared" si="118"/>
        <v>2331</v>
      </c>
      <c r="S304" s="686"/>
      <c r="T304" s="685"/>
      <c r="U304" s="694">
        <f t="shared" si="119"/>
        <v>0</v>
      </c>
      <c r="V304" s="698">
        <f t="shared" si="120"/>
        <v>0</v>
      </c>
      <c r="W304" s="679"/>
      <c r="X304" s="678"/>
      <c r="Y304" s="679"/>
      <c r="Z304" s="678"/>
      <c r="AA304" s="679"/>
      <c r="AB304" s="678"/>
      <c r="AC304" s="679"/>
      <c r="AD304" s="678"/>
      <c r="AE304" s="694">
        <f t="shared" si="121"/>
        <v>0</v>
      </c>
      <c r="AF304" s="695">
        <f t="shared" si="122"/>
        <v>0</v>
      </c>
      <c r="AG304" s="696">
        <f t="shared" si="123"/>
        <v>0</v>
      </c>
      <c r="AH304" s="697">
        <f t="shared" si="124"/>
        <v>0</v>
      </c>
      <c r="AI304" s="679"/>
      <c r="AJ304" s="678"/>
      <c r="AK304" s="694">
        <f t="shared" si="125"/>
        <v>0</v>
      </c>
      <c r="AL304" s="698">
        <f t="shared" si="126"/>
        <v>0</v>
      </c>
      <c r="AM304" s="679"/>
      <c r="AN304" s="678"/>
      <c r="AO304" s="679">
        <v>2604</v>
      </c>
      <c r="AP304" s="678">
        <v>2583</v>
      </c>
      <c r="AQ304" s="679">
        <v>1536</v>
      </c>
      <c r="AR304" s="678">
        <v>1116</v>
      </c>
      <c r="AS304" s="679">
        <v>2613</v>
      </c>
      <c r="AT304" s="678">
        <v>2738</v>
      </c>
      <c r="AU304" s="699">
        <f t="shared" si="127"/>
        <v>6753</v>
      </c>
      <c r="AV304" s="695">
        <f t="shared" si="133"/>
        <v>281.375</v>
      </c>
      <c r="AW304" s="696">
        <f t="shared" si="128"/>
        <v>6437</v>
      </c>
      <c r="AX304" s="697">
        <f t="shared" si="129"/>
        <v>268.20833333333331</v>
      </c>
      <c r="AY304" s="700">
        <f t="shared" si="130"/>
        <v>2628.5083333333332</v>
      </c>
      <c r="AZ304" s="697">
        <f t="shared" si="131"/>
        <v>2599.2083333333335</v>
      </c>
      <c r="BA304" s="680"/>
    </row>
    <row r="305" spans="1:53" s="300" customFormat="1">
      <c r="A305" s="661" t="s">
        <v>638</v>
      </c>
      <c r="B305" s="585" t="s">
        <v>948</v>
      </c>
      <c r="C305" s="482">
        <v>175786</v>
      </c>
      <c r="D305" s="662">
        <v>8</v>
      </c>
      <c r="E305" s="148" t="s">
        <v>393</v>
      </c>
      <c r="F305" s="149" t="s">
        <v>393</v>
      </c>
      <c r="G305" s="78"/>
      <c r="H305" s="675"/>
      <c r="I305" s="78">
        <v>106140</v>
      </c>
      <c r="J305" s="675">
        <v>112905</v>
      </c>
      <c r="K305" s="78">
        <v>20865</v>
      </c>
      <c r="L305" s="675">
        <v>22952</v>
      </c>
      <c r="M305" s="78">
        <v>125632</v>
      </c>
      <c r="N305" s="675">
        <v>147328</v>
      </c>
      <c r="O305" s="694">
        <f t="shared" si="116"/>
        <v>252637</v>
      </c>
      <c r="P305" s="695">
        <f t="shared" si="132"/>
        <v>8421.2333333333336</v>
      </c>
      <c r="Q305" s="696">
        <f t="shared" si="117"/>
        <v>283185</v>
      </c>
      <c r="R305" s="697">
        <f t="shared" ref="R305:R322" si="134">+Q305/30</f>
        <v>9439.5</v>
      </c>
      <c r="S305" s="78">
        <v>1757</v>
      </c>
      <c r="T305" s="675">
        <v>3003</v>
      </c>
      <c r="U305" s="694">
        <f t="shared" si="119"/>
        <v>252637</v>
      </c>
      <c r="V305" s="698">
        <f t="shared" si="120"/>
        <v>283185</v>
      </c>
      <c r="W305" s="78"/>
      <c r="X305" s="675"/>
      <c r="Y305" s="78"/>
      <c r="Z305" s="675"/>
      <c r="AA305" s="78"/>
      <c r="AB305" s="675"/>
      <c r="AC305" s="78"/>
      <c r="AD305" s="675"/>
      <c r="AE305" s="694">
        <f t="shared" si="121"/>
        <v>0</v>
      </c>
      <c r="AF305" s="695">
        <f t="shared" ref="AF305:AF324" si="135">+AE305/900</f>
        <v>0</v>
      </c>
      <c r="AG305" s="696">
        <f t="shared" si="123"/>
        <v>0</v>
      </c>
      <c r="AH305" s="697">
        <f t="shared" ref="AH305:AH324" si="136">+AG305/900</f>
        <v>0</v>
      </c>
      <c r="AI305" s="78"/>
      <c r="AJ305" s="675"/>
      <c r="AK305" s="694">
        <f t="shared" si="125"/>
        <v>0</v>
      </c>
      <c r="AL305" s="698">
        <f t="shared" si="126"/>
        <v>0</v>
      </c>
      <c r="AM305" s="78"/>
      <c r="AN305" s="675"/>
      <c r="AO305" s="78"/>
      <c r="AP305" s="675"/>
      <c r="AQ305" s="78"/>
      <c r="AR305" s="675"/>
      <c r="AS305" s="78"/>
      <c r="AT305" s="675"/>
      <c r="AU305" s="699">
        <f t="shared" ref="AU305:AU320" si="137">SUM(AM305,AO305,AQ305,AS305)</f>
        <v>0</v>
      </c>
      <c r="AV305" s="695">
        <f t="shared" ref="AV305:AV320" si="138">+AU305/24</f>
        <v>0</v>
      </c>
      <c r="AW305" s="696">
        <f t="shared" ref="AW305:AW320" si="139">SUM(AN305,AP305,AR305,AT305)</f>
        <v>0</v>
      </c>
      <c r="AX305" s="697">
        <f t="shared" ref="AX305:AX320" si="140">+AW305/24</f>
        <v>0</v>
      </c>
      <c r="AY305" s="700">
        <f t="shared" si="130"/>
        <v>8421.2333333333336</v>
      </c>
      <c r="AZ305" s="697">
        <f t="shared" si="131"/>
        <v>9439.5</v>
      </c>
      <c r="BA305" s="703"/>
    </row>
    <row r="306" spans="1:53" s="300" customFormat="1">
      <c r="A306" s="661" t="s">
        <v>638</v>
      </c>
      <c r="B306" s="585" t="s">
        <v>949</v>
      </c>
      <c r="C306" s="663">
        <v>176071</v>
      </c>
      <c r="D306" s="662">
        <v>8</v>
      </c>
      <c r="E306" s="148" t="s">
        <v>393</v>
      </c>
      <c r="F306" s="149" t="s">
        <v>393</v>
      </c>
      <c r="G306" s="78"/>
      <c r="H306" s="675"/>
      <c r="I306" s="78">
        <v>91265</v>
      </c>
      <c r="J306" s="675">
        <v>93874</v>
      </c>
      <c r="K306" s="78">
        <v>23590</v>
      </c>
      <c r="L306" s="675">
        <v>24990</v>
      </c>
      <c r="M306" s="78">
        <v>102962</v>
      </c>
      <c r="N306" s="675">
        <v>117170</v>
      </c>
      <c r="O306" s="694">
        <f t="shared" ref="O306:O369" si="141">SUM(G306,I306,K306,M306)</f>
        <v>217817</v>
      </c>
      <c r="P306" s="695">
        <f t="shared" si="132"/>
        <v>7260.5666666666666</v>
      </c>
      <c r="Q306" s="696">
        <f t="shared" ref="Q306:Q369" si="142">SUM(H306,J306,L306,N306)</f>
        <v>236034</v>
      </c>
      <c r="R306" s="697">
        <f t="shared" si="134"/>
        <v>7867.8</v>
      </c>
      <c r="S306" s="78">
        <v>2179</v>
      </c>
      <c r="T306" s="675">
        <v>1678</v>
      </c>
      <c r="U306" s="694">
        <f t="shared" ref="U306:U369" si="143">IF(OR(ISBLANK(S306),(S306="—")),0,O306)</f>
        <v>217817</v>
      </c>
      <c r="V306" s="698">
        <f t="shared" ref="V306:V369" si="144">IF(OR(ISBLANK(T306),(T306="—")),0,Q306)</f>
        <v>236034</v>
      </c>
      <c r="W306" s="78"/>
      <c r="X306" s="675"/>
      <c r="Y306" s="78"/>
      <c r="Z306" s="675"/>
      <c r="AA306" s="78"/>
      <c r="AB306" s="675"/>
      <c r="AC306" s="78"/>
      <c r="AD306" s="675"/>
      <c r="AE306" s="694">
        <f t="shared" ref="AE306:AE369" si="145">SUM(W306,Y306,AA306,AC306)</f>
        <v>0</v>
      </c>
      <c r="AF306" s="695">
        <f t="shared" si="135"/>
        <v>0</v>
      </c>
      <c r="AG306" s="696">
        <f t="shared" ref="AG306:AG369" si="146">SUM(X306,Z306,AB306,AD306)</f>
        <v>0</v>
      </c>
      <c r="AH306" s="697">
        <f t="shared" si="136"/>
        <v>0</v>
      </c>
      <c r="AI306" s="78"/>
      <c r="AJ306" s="675"/>
      <c r="AK306" s="694">
        <f t="shared" ref="AK306:AK369" si="147">IF(OR(ISBLANK(AI306),(AI306="—")),0,AE306)</f>
        <v>0</v>
      </c>
      <c r="AL306" s="698">
        <f t="shared" ref="AL306:AL369" si="148">IF(OR(ISBLANK(AJ306),(AJ306="—")),0,AG306)</f>
        <v>0</v>
      </c>
      <c r="AM306" s="78"/>
      <c r="AN306" s="675"/>
      <c r="AO306" s="78"/>
      <c r="AP306" s="675"/>
      <c r="AQ306" s="78"/>
      <c r="AR306" s="675"/>
      <c r="AS306" s="78"/>
      <c r="AT306" s="675"/>
      <c r="AU306" s="699">
        <f t="shared" si="137"/>
        <v>0</v>
      </c>
      <c r="AV306" s="695">
        <f t="shared" si="138"/>
        <v>0</v>
      </c>
      <c r="AW306" s="696">
        <f t="shared" si="139"/>
        <v>0</v>
      </c>
      <c r="AX306" s="697">
        <f t="shared" si="140"/>
        <v>0</v>
      </c>
      <c r="AY306" s="700">
        <f t="shared" ref="AY306:AY369" si="149">SUM(P306,AF306,AV306)</f>
        <v>7260.5666666666666</v>
      </c>
      <c r="AZ306" s="697">
        <f t="shared" ref="AZ306:AZ369" si="150">SUM(R306,AH306,AX306)</f>
        <v>7867.8</v>
      </c>
      <c r="BA306" s="703"/>
    </row>
    <row r="307" spans="1:53" s="300" customFormat="1">
      <c r="A307" s="661" t="s">
        <v>638</v>
      </c>
      <c r="B307" s="585" t="s">
        <v>950</v>
      </c>
      <c r="C307" s="663">
        <v>176178</v>
      </c>
      <c r="D307" s="662">
        <v>8</v>
      </c>
      <c r="E307" s="148" t="s">
        <v>393</v>
      </c>
      <c r="F307" s="149" t="s">
        <v>393</v>
      </c>
      <c r="G307" s="78"/>
      <c r="H307" s="675"/>
      <c r="I307" s="78">
        <v>72133</v>
      </c>
      <c r="J307" s="675">
        <v>78052</v>
      </c>
      <c r="K307" s="78">
        <v>14665</v>
      </c>
      <c r="L307" s="675">
        <v>17336</v>
      </c>
      <c r="M307" s="78">
        <v>83032</v>
      </c>
      <c r="N307" s="675">
        <v>97910</v>
      </c>
      <c r="O307" s="694">
        <f t="shared" si="141"/>
        <v>169830</v>
      </c>
      <c r="P307" s="695">
        <f t="shared" si="132"/>
        <v>5661</v>
      </c>
      <c r="Q307" s="696">
        <f t="shared" si="142"/>
        <v>193298</v>
      </c>
      <c r="R307" s="697">
        <f t="shared" si="134"/>
        <v>6443.2666666666664</v>
      </c>
      <c r="S307" s="78">
        <v>1179</v>
      </c>
      <c r="T307" s="675">
        <v>1337</v>
      </c>
      <c r="U307" s="694">
        <f t="shared" si="143"/>
        <v>169830</v>
      </c>
      <c r="V307" s="698">
        <f t="shared" si="144"/>
        <v>193298</v>
      </c>
      <c r="W307" s="78"/>
      <c r="X307" s="675"/>
      <c r="Y307" s="78"/>
      <c r="Z307" s="675"/>
      <c r="AA307" s="78"/>
      <c r="AB307" s="675"/>
      <c r="AC307" s="78"/>
      <c r="AD307" s="675"/>
      <c r="AE307" s="694">
        <f t="shared" si="145"/>
        <v>0</v>
      </c>
      <c r="AF307" s="695">
        <f t="shared" si="135"/>
        <v>0</v>
      </c>
      <c r="AG307" s="696">
        <f t="shared" si="146"/>
        <v>0</v>
      </c>
      <c r="AH307" s="697">
        <f t="shared" si="136"/>
        <v>0</v>
      </c>
      <c r="AI307" s="78"/>
      <c r="AJ307" s="675"/>
      <c r="AK307" s="694">
        <f t="shared" si="147"/>
        <v>0</v>
      </c>
      <c r="AL307" s="698">
        <f t="shared" si="148"/>
        <v>0</v>
      </c>
      <c r="AM307" s="78"/>
      <c r="AN307" s="675"/>
      <c r="AO307" s="78"/>
      <c r="AP307" s="675"/>
      <c r="AQ307" s="78"/>
      <c r="AR307" s="675"/>
      <c r="AS307" s="78"/>
      <c r="AT307" s="675"/>
      <c r="AU307" s="699">
        <f t="shared" si="137"/>
        <v>0</v>
      </c>
      <c r="AV307" s="695">
        <f t="shared" si="138"/>
        <v>0</v>
      </c>
      <c r="AW307" s="696">
        <f t="shared" si="139"/>
        <v>0</v>
      </c>
      <c r="AX307" s="697">
        <f t="shared" si="140"/>
        <v>0</v>
      </c>
      <c r="AY307" s="700">
        <f t="shared" si="149"/>
        <v>5661</v>
      </c>
      <c r="AZ307" s="697">
        <f t="shared" si="150"/>
        <v>6443.2666666666664</v>
      </c>
      <c r="BA307" s="703"/>
    </row>
    <row r="308" spans="1:53" s="300" customFormat="1">
      <c r="A308" s="661" t="s">
        <v>638</v>
      </c>
      <c r="B308" s="585" t="s">
        <v>951</v>
      </c>
      <c r="C308" s="482">
        <v>175573</v>
      </c>
      <c r="D308" s="662">
        <v>9</v>
      </c>
      <c r="E308" s="148" t="s">
        <v>393</v>
      </c>
      <c r="F308" s="149" t="s">
        <v>393</v>
      </c>
      <c r="G308" s="78"/>
      <c r="H308" s="675"/>
      <c r="I308" s="78">
        <v>38010</v>
      </c>
      <c r="J308" s="675">
        <v>37008</v>
      </c>
      <c r="K308" s="78">
        <v>6345</v>
      </c>
      <c r="L308" s="675">
        <v>7772</v>
      </c>
      <c r="M308" s="78">
        <v>41550</v>
      </c>
      <c r="N308" s="675">
        <v>46326</v>
      </c>
      <c r="O308" s="694">
        <f t="shared" si="141"/>
        <v>85905</v>
      </c>
      <c r="P308" s="695">
        <f t="shared" si="132"/>
        <v>2863.5</v>
      </c>
      <c r="Q308" s="696">
        <f t="shared" si="142"/>
        <v>91106</v>
      </c>
      <c r="R308" s="697">
        <f t="shared" si="134"/>
        <v>3036.8666666666668</v>
      </c>
      <c r="S308" s="78">
        <v>1601</v>
      </c>
      <c r="T308" s="675">
        <v>974</v>
      </c>
      <c r="U308" s="694">
        <f t="shared" si="143"/>
        <v>85905</v>
      </c>
      <c r="V308" s="698">
        <f t="shared" si="144"/>
        <v>91106</v>
      </c>
      <c r="W308" s="78"/>
      <c r="X308" s="675"/>
      <c r="Y308" s="78"/>
      <c r="Z308" s="675"/>
      <c r="AA308" s="78"/>
      <c r="AB308" s="675"/>
      <c r="AC308" s="78"/>
      <c r="AD308" s="675"/>
      <c r="AE308" s="694">
        <f t="shared" si="145"/>
        <v>0</v>
      </c>
      <c r="AF308" s="695">
        <f t="shared" si="135"/>
        <v>0</v>
      </c>
      <c r="AG308" s="696">
        <f t="shared" si="146"/>
        <v>0</v>
      </c>
      <c r="AH308" s="697">
        <f t="shared" si="136"/>
        <v>0</v>
      </c>
      <c r="AI308" s="78"/>
      <c r="AJ308" s="675"/>
      <c r="AK308" s="694">
        <f t="shared" si="147"/>
        <v>0</v>
      </c>
      <c r="AL308" s="698">
        <f t="shared" si="148"/>
        <v>0</v>
      </c>
      <c r="AM308" s="78"/>
      <c r="AN308" s="675"/>
      <c r="AO308" s="78"/>
      <c r="AP308" s="675"/>
      <c r="AQ308" s="78"/>
      <c r="AR308" s="675"/>
      <c r="AS308" s="78"/>
      <c r="AT308" s="675"/>
      <c r="AU308" s="699">
        <f t="shared" si="137"/>
        <v>0</v>
      </c>
      <c r="AV308" s="695">
        <f t="shared" si="138"/>
        <v>0</v>
      </c>
      <c r="AW308" s="696">
        <f t="shared" si="139"/>
        <v>0</v>
      </c>
      <c r="AX308" s="697">
        <f t="shared" si="140"/>
        <v>0</v>
      </c>
      <c r="AY308" s="700">
        <f t="shared" si="149"/>
        <v>2863.5</v>
      </c>
      <c r="AZ308" s="697">
        <f t="shared" si="150"/>
        <v>3036.8666666666668</v>
      </c>
      <c r="BA308" s="703"/>
    </row>
    <row r="309" spans="1:53" s="300" customFormat="1">
      <c r="A309" s="661" t="s">
        <v>638</v>
      </c>
      <c r="B309" s="585" t="s">
        <v>952</v>
      </c>
      <c r="C309" s="663">
        <v>175643</v>
      </c>
      <c r="D309" s="574">
        <v>9</v>
      </c>
      <c r="E309" s="148" t="s">
        <v>393</v>
      </c>
      <c r="F309" s="149" t="s">
        <v>393</v>
      </c>
      <c r="G309" s="78"/>
      <c r="H309" s="675"/>
      <c r="I309" s="78">
        <v>26910</v>
      </c>
      <c r="J309" s="675">
        <v>28568</v>
      </c>
      <c r="K309" s="78">
        <v>5223</v>
      </c>
      <c r="L309" s="675">
        <v>6009</v>
      </c>
      <c r="M309" s="78">
        <v>30342</v>
      </c>
      <c r="N309" s="675">
        <v>33579</v>
      </c>
      <c r="O309" s="694">
        <f t="shared" si="141"/>
        <v>62475</v>
      </c>
      <c r="P309" s="695">
        <f t="shared" si="132"/>
        <v>2082.5</v>
      </c>
      <c r="Q309" s="696">
        <f t="shared" si="142"/>
        <v>68156</v>
      </c>
      <c r="R309" s="697">
        <f t="shared" si="134"/>
        <v>2271.8666666666668</v>
      </c>
      <c r="S309" s="78">
        <v>374</v>
      </c>
      <c r="T309" s="675">
        <v>357</v>
      </c>
      <c r="U309" s="694">
        <f t="shared" si="143"/>
        <v>62475</v>
      </c>
      <c r="V309" s="698">
        <f t="shared" si="144"/>
        <v>68156</v>
      </c>
      <c r="W309" s="78"/>
      <c r="X309" s="675"/>
      <c r="Y309" s="78"/>
      <c r="Z309" s="675"/>
      <c r="AA309" s="78"/>
      <c r="AB309" s="675"/>
      <c r="AC309" s="78"/>
      <c r="AD309" s="675"/>
      <c r="AE309" s="694">
        <f t="shared" si="145"/>
        <v>0</v>
      </c>
      <c r="AF309" s="695">
        <f t="shared" si="135"/>
        <v>0</v>
      </c>
      <c r="AG309" s="696">
        <f t="shared" si="146"/>
        <v>0</v>
      </c>
      <c r="AH309" s="697">
        <f t="shared" si="136"/>
        <v>0</v>
      </c>
      <c r="AI309" s="78"/>
      <c r="AJ309" s="675"/>
      <c r="AK309" s="694">
        <f t="shared" si="147"/>
        <v>0</v>
      </c>
      <c r="AL309" s="698">
        <f t="shared" si="148"/>
        <v>0</v>
      </c>
      <c r="AM309" s="78"/>
      <c r="AN309" s="675"/>
      <c r="AO309" s="78"/>
      <c r="AP309" s="675"/>
      <c r="AQ309" s="78"/>
      <c r="AR309" s="675"/>
      <c r="AS309" s="78"/>
      <c r="AT309" s="675"/>
      <c r="AU309" s="699">
        <f t="shared" si="137"/>
        <v>0</v>
      </c>
      <c r="AV309" s="695">
        <f t="shared" si="138"/>
        <v>0</v>
      </c>
      <c r="AW309" s="696">
        <f t="shared" si="139"/>
        <v>0</v>
      </c>
      <c r="AX309" s="697">
        <f t="shared" si="140"/>
        <v>0</v>
      </c>
      <c r="AY309" s="700">
        <f t="shared" si="149"/>
        <v>2082.5</v>
      </c>
      <c r="AZ309" s="697">
        <f t="shared" si="150"/>
        <v>2271.8666666666668</v>
      </c>
      <c r="BA309" s="703"/>
    </row>
    <row r="310" spans="1:53" s="300" customFormat="1">
      <c r="A310" s="661" t="s">
        <v>638</v>
      </c>
      <c r="B310" s="585" t="s">
        <v>953</v>
      </c>
      <c r="C310" s="663">
        <v>175652</v>
      </c>
      <c r="D310" s="574">
        <v>9</v>
      </c>
      <c r="E310" s="148" t="s">
        <v>393</v>
      </c>
      <c r="F310" s="149" t="s">
        <v>393</v>
      </c>
      <c r="G310" s="78"/>
      <c r="H310" s="675"/>
      <c r="I310" s="78">
        <v>42674</v>
      </c>
      <c r="J310" s="675">
        <v>43526</v>
      </c>
      <c r="K310" s="78">
        <v>11498</v>
      </c>
      <c r="L310" s="675">
        <v>15412</v>
      </c>
      <c r="M310" s="78">
        <v>48077</v>
      </c>
      <c r="N310" s="675">
        <v>59118</v>
      </c>
      <c r="O310" s="694">
        <f t="shared" si="141"/>
        <v>102249</v>
      </c>
      <c r="P310" s="695">
        <f t="shared" si="132"/>
        <v>3408.3</v>
      </c>
      <c r="Q310" s="696">
        <f t="shared" si="142"/>
        <v>118056</v>
      </c>
      <c r="R310" s="697">
        <f t="shared" si="134"/>
        <v>3935.2</v>
      </c>
      <c r="S310" s="78">
        <v>20</v>
      </c>
      <c r="T310" s="675">
        <v>927</v>
      </c>
      <c r="U310" s="694">
        <f t="shared" si="143"/>
        <v>102249</v>
      </c>
      <c r="V310" s="698">
        <f t="shared" si="144"/>
        <v>118056</v>
      </c>
      <c r="W310" s="78"/>
      <c r="X310" s="675"/>
      <c r="Y310" s="78"/>
      <c r="Z310" s="675"/>
      <c r="AA310" s="78"/>
      <c r="AB310" s="675"/>
      <c r="AC310" s="78"/>
      <c r="AD310" s="675"/>
      <c r="AE310" s="694">
        <f t="shared" si="145"/>
        <v>0</v>
      </c>
      <c r="AF310" s="695">
        <f t="shared" si="135"/>
        <v>0</v>
      </c>
      <c r="AG310" s="696">
        <f t="shared" si="146"/>
        <v>0</v>
      </c>
      <c r="AH310" s="697">
        <f t="shared" si="136"/>
        <v>0</v>
      </c>
      <c r="AI310" s="78"/>
      <c r="AJ310" s="675"/>
      <c r="AK310" s="694">
        <f t="shared" si="147"/>
        <v>0</v>
      </c>
      <c r="AL310" s="698">
        <f t="shared" si="148"/>
        <v>0</v>
      </c>
      <c r="AM310" s="78"/>
      <c r="AN310" s="675"/>
      <c r="AO310" s="78"/>
      <c r="AP310" s="675"/>
      <c r="AQ310" s="78"/>
      <c r="AR310" s="675"/>
      <c r="AS310" s="78"/>
      <c r="AT310" s="675"/>
      <c r="AU310" s="699">
        <f t="shared" si="137"/>
        <v>0</v>
      </c>
      <c r="AV310" s="695">
        <f t="shared" si="138"/>
        <v>0</v>
      </c>
      <c r="AW310" s="696">
        <f t="shared" si="139"/>
        <v>0</v>
      </c>
      <c r="AX310" s="697">
        <f t="shared" si="140"/>
        <v>0</v>
      </c>
      <c r="AY310" s="700">
        <f t="shared" si="149"/>
        <v>3408.3</v>
      </c>
      <c r="AZ310" s="697">
        <f t="shared" si="150"/>
        <v>3935.2</v>
      </c>
      <c r="BA310" s="703"/>
    </row>
    <row r="311" spans="1:53" s="300" customFormat="1">
      <c r="A311" s="661" t="s">
        <v>638</v>
      </c>
      <c r="B311" s="585" t="s">
        <v>954</v>
      </c>
      <c r="C311" s="663">
        <v>175810</v>
      </c>
      <c r="D311" s="662">
        <v>9</v>
      </c>
      <c r="E311" s="148" t="s">
        <v>393</v>
      </c>
      <c r="F311" s="149" t="s">
        <v>393</v>
      </c>
      <c r="G311" s="78"/>
      <c r="H311" s="675"/>
      <c r="I311" s="78">
        <v>51538</v>
      </c>
      <c r="J311" s="675">
        <v>54179</v>
      </c>
      <c r="K311" s="78">
        <v>14496</v>
      </c>
      <c r="L311" s="675">
        <v>16893</v>
      </c>
      <c r="M311" s="78">
        <v>59537</v>
      </c>
      <c r="N311" s="675">
        <v>70788</v>
      </c>
      <c r="O311" s="694">
        <f t="shared" si="141"/>
        <v>125571</v>
      </c>
      <c r="P311" s="695">
        <f t="shared" si="132"/>
        <v>4185.7</v>
      </c>
      <c r="Q311" s="696">
        <f t="shared" si="142"/>
        <v>141860</v>
      </c>
      <c r="R311" s="697">
        <f t="shared" si="134"/>
        <v>4728.666666666667</v>
      </c>
      <c r="S311" s="78">
        <v>870</v>
      </c>
      <c r="T311" s="675">
        <v>1642</v>
      </c>
      <c r="U311" s="694">
        <f t="shared" si="143"/>
        <v>125571</v>
      </c>
      <c r="V311" s="698">
        <f t="shared" si="144"/>
        <v>141860</v>
      </c>
      <c r="W311" s="78"/>
      <c r="X311" s="675"/>
      <c r="Y311" s="78"/>
      <c r="Z311" s="675"/>
      <c r="AA311" s="78"/>
      <c r="AB311" s="675"/>
      <c r="AC311" s="78"/>
      <c r="AD311" s="675"/>
      <c r="AE311" s="694">
        <f t="shared" si="145"/>
        <v>0</v>
      </c>
      <c r="AF311" s="695">
        <f t="shared" si="135"/>
        <v>0</v>
      </c>
      <c r="AG311" s="696">
        <f t="shared" si="146"/>
        <v>0</v>
      </c>
      <c r="AH311" s="697">
        <f t="shared" si="136"/>
        <v>0</v>
      </c>
      <c r="AI311" s="78"/>
      <c r="AJ311" s="675"/>
      <c r="AK311" s="694">
        <f t="shared" si="147"/>
        <v>0</v>
      </c>
      <c r="AL311" s="698">
        <f t="shared" si="148"/>
        <v>0</v>
      </c>
      <c r="AM311" s="78"/>
      <c r="AN311" s="675"/>
      <c r="AO311" s="78"/>
      <c r="AP311" s="675"/>
      <c r="AQ311" s="78"/>
      <c r="AR311" s="675"/>
      <c r="AS311" s="78"/>
      <c r="AT311" s="675"/>
      <c r="AU311" s="699">
        <f t="shared" si="137"/>
        <v>0</v>
      </c>
      <c r="AV311" s="695">
        <f t="shared" si="138"/>
        <v>0</v>
      </c>
      <c r="AW311" s="696">
        <f t="shared" si="139"/>
        <v>0</v>
      </c>
      <c r="AX311" s="697">
        <f t="shared" si="140"/>
        <v>0</v>
      </c>
      <c r="AY311" s="700">
        <f t="shared" si="149"/>
        <v>4185.7</v>
      </c>
      <c r="AZ311" s="697">
        <f t="shared" si="150"/>
        <v>4728.666666666667</v>
      </c>
      <c r="BA311" s="703"/>
    </row>
    <row r="312" spans="1:53" s="300" customFormat="1">
      <c r="A312" s="661" t="s">
        <v>638</v>
      </c>
      <c r="B312" s="661" t="s">
        <v>955</v>
      </c>
      <c r="C312" s="663">
        <v>175829</v>
      </c>
      <c r="D312" s="662">
        <v>9</v>
      </c>
      <c r="E312" s="148" t="s">
        <v>393</v>
      </c>
      <c r="F312" s="149" t="s">
        <v>393</v>
      </c>
      <c r="G312" s="78"/>
      <c r="H312" s="675"/>
      <c r="I312" s="78">
        <v>71257</v>
      </c>
      <c r="J312" s="675">
        <v>77539</v>
      </c>
      <c r="K312" s="78">
        <v>14468</v>
      </c>
      <c r="L312" s="675">
        <v>18354</v>
      </c>
      <c r="M312" s="78">
        <v>85619</v>
      </c>
      <c r="N312" s="675">
        <v>99914</v>
      </c>
      <c r="O312" s="694">
        <f t="shared" si="141"/>
        <v>171344</v>
      </c>
      <c r="P312" s="695">
        <f t="shared" si="132"/>
        <v>5711.4666666666662</v>
      </c>
      <c r="Q312" s="696">
        <f t="shared" si="142"/>
        <v>195807</v>
      </c>
      <c r="R312" s="697">
        <f t="shared" si="134"/>
        <v>6526.9</v>
      </c>
      <c r="S312" s="78">
        <v>701</v>
      </c>
      <c r="T312" s="675">
        <v>1011</v>
      </c>
      <c r="U312" s="694">
        <f t="shared" si="143"/>
        <v>171344</v>
      </c>
      <c r="V312" s="698">
        <f t="shared" si="144"/>
        <v>195807</v>
      </c>
      <c r="W312" s="78"/>
      <c r="X312" s="675"/>
      <c r="Y312" s="78"/>
      <c r="Z312" s="675"/>
      <c r="AA312" s="78"/>
      <c r="AB312" s="675"/>
      <c r="AC312" s="78"/>
      <c r="AD312" s="675"/>
      <c r="AE312" s="694">
        <f t="shared" si="145"/>
        <v>0</v>
      </c>
      <c r="AF312" s="695">
        <f t="shared" si="135"/>
        <v>0</v>
      </c>
      <c r="AG312" s="696">
        <f t="shared" si="146"/>
        <v>0</v>
      </c>
      <c r="AH312" s="697">
        <f t="shared" si="136"/>
        <v>0</v>
      </c>
      <c r="AI312" s="78"/>
      <c r="AJ312" s="675"/>
      <c r="AK312" s="694">
        <f t="shared" si="147"/>
        <v>0</v>
      </c>
      <c r="AL312" s="698">
        <f t="shared" si="148"/>
        <v>0</v>
      </c>
      <c r="AM312" s="78"/>
      <c r="AN312" s="675"/>
      <c r="AO312" s="78"/>
      <c r="AP312" s="675"/>
      <c r="AQ312" s="78"/>
      <c r="AR312" s="675"/>
      <c r="AS312" s="78"/>
      <c r="AT312" s="675"/>
      <c r="AU312" s="699">
        <f t="shared" si="137"/>
        <v>0</v>
      </c>
      <c r="AV312" s="695">
        <f t="shared" si="138"/>
        <v>0</v>
      </c>
      <c r="AW312" s="696">
        <f t="shared" si="139"/>
        <v>0</v>
      </c>
      <c r="AX312" s="697">
        <f t="shared" si="140"/>
        <v>0</v>
      </c>
      <c r="AY312" s="700">
        <f t="shared" si="149"/>
        <v>5711.4666666666662</v>
      </c>
      <c r="AZ312" s="697">
        <f t="shared" si="150"/>
        <v>6526.9</v>
      </c>
      <c r="BA312" s="703"/>
    </row>
    <row r="313" spans="1:53" s="300" customFormat="1">
      <c r="A313" s="661" t="s">
        <v>638</v>
      </c>
      <c r="B313" s="585" t="s">
        <v>956</v>
      </c>
      <c r="C313" s="663">
        <v>175883</v>
      </c>
      <c r="D313" s="662">
        <v>9</v>
      </c>
      <c r="E313" s="148" t="s">
        <v>393</v>
      </c>
      <c r="F313" s="149" t="s">
        <v>393</v>
      </c>
      <c r="G313" s="78"/>
      <c r="H313" s="675"/>
      <c r="I313" s="78">
        <v>51229</v>
      </c>
      <c r="J313" s="675">
        <v>50663</v>
      </c>
      <c r="K313" s="78">
        <v>13668</v>
      </c>
      <c r="L313" s="675">
        <v>14865</v>
      </c>
      <c r="M313" s="78">
        <v>61015</v>
      </c>
      <c r="N313" s="675">
        <v>68705</v>
      </c>
      <c r="O313" s="694">
        <f t="shared" si="141"/>
        <v>125912</v>
      </c>
      <c r="P313" s="695">
        <f t="shared" si="132"/>
        <v>4197.0666666666666</v>
      </c>
      <c r="Q313" s="696">
        <f t="shared" si="142"/>
        <v>134233</v>
      </c>
      <c r="R313" s="697">
        <f t="shared" si="134"/>
        <v>4474.4333333333334</v>
      </c>
      <c r="S313" s="78">
        <v>1251</v>
      </c>
      <c r="T313" s="675">
        <v>1665</v>
      </c>
      <c r="U313" s="694">
        <f t="shared" si="143"/>
        <v>125912</v>
      </c>
      <c r="V313" s="698">
        <f t="shared" si="144"/>
        <v>134233</v>
      </c>
      <c r="W313" s="78"/>
      <c r="X313" s="675"/>
      <c r="Y313" s="78"/>
      <c r="Z313" s="675"/>
      <c r="AA313" s="78"/>
      <c r="AB313" s="675"/>
      <c r="AC313" s="78"/>
      <c r="AD313" s="675"/>
      <c r="AE313" s="694">
        <f t="shared" si="145"/>
        <v>0</v>
      </c>
      <c r="AF313" s="695">
        <f t="shared" si="135"/>
        <v>0</v>
      </c>
      <c r="AG313" s="696">
        <f t="shared" si="146"/>
        <v>0</v>
      </c>
      <c r="AH313" s="697">
        <f t="shared" si="136"/>
        <v>0</v>
      </c>
      <c r="AI313" s="78"/>
      <c r="AJ313" s="675"/>
      <c r="AK313" s="694">
        <f t="shared" si="147"/>
        <v>0</v>
      </c>
      <c r="AL313" s="698">
        <f t="shared" si="148"/>
        <v>0</v>
      </c>
      <c r="AM313" s="78"/>
      <c r="AN313" s="675"/>
      <c r="AO313" s="78"/>
      <c r="AP313" s="675"/>
      <c r="AQ313" s="78"/>
      <c r="AR313" s="675"/>
      <c r="AS313" s="78"/>
      <c r="AT313" s="675"/>
      <c r="AU313" s="699">
        <f t="shared" si="137"/>
        <v>0</v>
      </c>
      <c r="AV313" s="695">
        <f t="shared" si="138"/>
        <v>0</v>
      </c>
      <c r="AW313" s="696">
        <f t="shared" si="139"/>
        <v>0</v>
      </c>
      <c r="AX313" s="697">
        <f t="shared" si="140"/>
        <v>0</v>
      </c>
      <c r="AY313" s="700">
        <f t="shared" si="149"/>
        <v>4197.0666666666666</v>
      </c>
      <c r="AZ313" s="697">
        <f t="shared" si="150"/>
        <v>4474.4333333333334</v>
      </c>
      <c r="BA313" s="703"/>
    </row>
    <row r="314" spans="1:53" s="300" customFormat="1">
      <c r="A314" s="661" t="s">
        <v>638</v>
      </c>
      <c r="B314" s="585" t="s">
        <v>957</v>
      </c>
      <c r="C314" s="663">
        <v>175935</v>
      </c>
      <c r="D314" s="662">
        <v>9</v>
      </c>
      <c r="E314" s="148" t="s">
        <v>393</v>
      </c>
      <c r="F314" s="149" t="s">
        <v>393</v>
      </c>
      <c r="G314" s="78"/>
      <c r="H314" s="675"/>
      <c r="I314" s="78">
        <v>37498</v>
      </c>
      <c r="J314" s="675">
        <v>38726</v>
      </c>
      <c r="K314" s="78">
        <v>6899</v>
      </c>
      <c r="L314" s="675">
        <v>6942</v>
      </c>
      <c r="M314" s="78">
        <v>44458</v>
      </c>
      <c r="N314" s="675">
        <v>47996</v>
      </c>
      <c r="O314" s="694">
        <f t="shared" si="141"/>
        <v>88855</v>
      </c>
      <c r="P314" s="695">
        <f t="shared" si="132"/>
        <v>2961.8333333333335</v>
      </c>
      <c r="Q314" s="696">
        <f t="shared" si="142"/>
        <v>93664</v>
      </c>
      <c r="R314" s="697">
        <f t="shared" si="134"/>
        <v>3122.1333333333332</v>
      </c>
      <c r="S314" s="78">
        <v>528</v>
      </c>
      <c r="T314" s="675">
        <v>314</v>
      </c>
      <c r="U314" s="694">
        <f t="shared" si="143"/>
        <v>88855</v>
      </c>
      <c r="V314" s="698">
        <f t="shared" si="144"/>
        <v>93664</v>
      </c>
      <c r="W314" s="78"/>
      <c r="X314" s="675"/>
      <c r="Y314" s="78"/>
      <c r="Z314" s="675"/>
      <c r="AA314" s="78"/>
      <c r="AB314" s="675"/>
      <c r="AC314" s="78"/>
      <c r="AD314" s="675"/>
      <c r="AE314" s="694">
        <f t="shared" si="145"/>
        <v>0</v>
      </c>
      <c r="AF314" s="695">
        <f t="shared" si="135"/>
        <v>0</v>
      </c>
      <c r="AG314" s="696">
        <f t="shared" si="146"/>
        <v>0</v>
      </c>
      <c r="AH314" s="697">
        <f t="shared" si="136"/>
        <v>0</v>
      </c>
      <c r="AI314" s="78"/>
      <c r="AJ314" s="675"/>
      <c r="AK314" s="694">
        <f t="shared" si="147"/>
        <v>0</v>
      </c>
      <c r="AL314" s="698">
        <f t="shared" si="148"/>
        <v>0</v>
      </c>
      <c r="AM314" s="78"/>
      <c r="AN314" s="675"/>
      <c r="AO314" s="78"/>
      <c r="AP314" s="675"/>
      <c r="AQ314" s="78"/>
      <c r="AR314" s="675"/>
      <c r="AS314" s="78"/>
      <c r="AT314" s="675"/>
      <c r="AU314" s="699">
        <f t="shared" si="137"/>
        <v>0</v>
      </c>
      <c r="AV314" s="695">
        <f t="shared" si="138"/>
        <v>0</v>
      </c>
      <c r="AW314" s="696">
        <f t="shared" si="139"/>
        <v>0</v>
      </c>
      <c r="AX314" s="697">
        <f t="shared" si="140"/>
        <v>0</v>
      </c>
      <c r="AY314" s="700">
        <f t="shared" si="149"/>
        <v>2961.8333333333335</v>
      </c>
      <c r="AZ314" s="697">
        <f t="shared" si="150"/>
        <v>3122.1333333333332</v>
      </c>
      <c r="BA314" s="703"/>
    </row>
    <row r="315" spans="1:53" s="300" customFormat="1">
      <c r="A315" s="661" t="s">
        <v>638</v>
      </c>
      <c r="B315" s="585" t="s">
        <v>958</v>
      </c>
      <c r="C315" s="663">
        <v>176008</v>
      </c>
      <c r="D315" s="662">
        <v>9</v>
      </c>
      <c r="E315" s="148" t="s">
        <v>393</v>
      </c>
      <c r="F315" s="149" t="s">
        <v>393</v>
      </c>
      <c r="G315" s="78"/>
      <c r="H315" s="675"/>
      <c r="I315" s="78">
        <v>32874</v>
      </c>
      <c r="J315" s="675">
        <v>35938</v>
      </c>
      <c r="K315" s="78">
        <v>4795</v>
      </c>
      <c r="L315" s="675">
        <v>5889</v>
      </c>
      <c r="M315" s="78">
        <v>37704</v>
      </c>
      <c r="N315" s="675">
        <v>41448</v>
      </c>
      <c r="O315" s="694">
        <f t="shared" si="141"/>
        <v>75373</v>
      </c>
      <c r="P315" s="695">
        <f t="shared" si="132"/>
        <v>2512.4333333333334</v>
      </c>
      <c r="Q315" s="696">
        <f t="shared" si="142"/>
        <v>83275</v>
      </c>
      <c r="R315" s="697">
        <f t="shared" si="134"/>
        <v>2775.8333333333335</v>
      </c>
      <c r="S315" s="78">
        <v>1207</v>
      </c>
      <c r="T315" s="675">
        <v>1272</v>
      </c>
      <c r="U315" s="694">
        <f t="shared" si="143"/>
        <v>75373</v>
      </c>
      <c r="V315" s="698">
        <f t="shared" si="144"/>
        <v>83275</v>
      </c>
      <c r="W315" s="78"/>
      <c r="X315" s="675"/>
      <c r="Y315" s="78"/>
      <c r="Z315" s="675"/>
      <c r="AA315" s="78"/>
      <c r="AB315" s="675"/>
      <c r="AC315" s="78"/>
      <c r="AD315" s="675"/>
      <c r="AE315" s="694">
        <f t="shared" si="145"/>
        <v>0</v>
      </c>
      <c r="AF315" s="695">
        <f t="shared" si="135"/>
        <v>0</v>
      </c>
      <c r="AG315" s="696">
        <f t="shared" si="146"/>
        <v>0</v>
      </c>
      <c r="AH315" s="697">
        <f t="shared" si="136"/>
        <v>0</v>
      </c>
      <c r="AI315" s="78"/>
      <c r="AJ315" s="675"/>
      <c r="AK315" s="694">
        <f t="shared" si="147"/>
        <v>0</v>
      </c>
      <c r="AL315" s="698">
        <f t="shared" si="148"/>
        <v>0</v>
      </c>
      <c r="AM315" s="78"/>
      <c r="AN315" s="675"/>
      <c r="AO315" s="78"/>
      <c r="AP315" s="675"/>
      <c r="AQ315" s="78"/>
      <c r="AR315" s="675"/>
      <c r="AS315" s="78"/>
      <c r="AT315" s="675"/>
      <c r="AU315" s="699">
        <f t="shared" si="137"/>
        <v>0</v>
      </c>
      <c r="AV315" s="695">
        <f t="shared" si="138"/>
        <v>0</v>
      </c>
      <c r="AW315" s="696">
        <f t="shared" si="139"/>
        <v>0</v>
      </c>
      <c r="AX315" s="697">
        <f t="shared" si="140"/>
        <v>0</v>
      </c>
      <c r="AY315" s="700">
        <f t="shared" si="149"/>
        <v>2512.4333333333334</v>
      </c>
      <c r="AZ315" s="697">
        <f t="shared" si="150"/>
        <v>2775.8333333333335</v>
      </c>
      <c r="BA315" s="703"/>
    </row>
    <row r="316" spans="1:53" s="300" customFormat="1">
      <c r="A316" s="661" t="s">
        <v>638</v>
      </c>
      <c r="B316" s="585" t="s">
        <v>959</v>
      </c>
      <c r="C316" s="663">
        <v>176169</v>
      </c>
      <c r="D316" s="662">
        <v>9</v>
      </c>
      <c r="E316" s="148" t="s">
        <v>393</v>
      </c>
      <c r="F316" s="149" t="s">
        <v>393</v>
      </c>
      <c r="G316" s="78"/>
      <c r="H316" s="675"/>
      <c r="I316" s="78">
        <v>37464</v>
      </c>
      <c r="J316" s="675">
        <v>37442</v>
      </c>
      <c r="K316" s="78">
        <v>4479</v>
      </c>
      <c r="L316" s="675">
        <v>5263</v>
      </c>
      <c r="M316" s="78">
        <v>42175</v>
      </c>
      <c r="N316" s="675">
        <v>48043</v>
      </c>
      <c r="O316" s="694">
        <f t="shared" si="141"/>
        <v>84118</v>
      </c>
      <c r="P316" s="695">
        <f t="shared" si="132"/>
        <v>2803.9333333333334</v>
      </c>
      <c r="Q316" s="696">
        <f t="shared" si="142"/>
        <v>90748</v>
      </c>
      <c r="R316" s="697">
        <f t="shared" si="134"/>
        <v>3024.9333333333334</v>
      </c>
      <c r="S316" s="78">
        <v>389</v>
      </c>
      <c r="T316" s="675">
        <v>543</v>
      </c>
      <c r="U316" s="694">
        <f t="shared" si="143"/>
        <v>84118</v>
      </c>
      <c r="V316" s="698">
        <f t="shared" si="144"/>
        <v>90748</v>
      </c>
      <c r="W316" s="78"/>
      <c r="X316" s="675"/>
      <c r="Y316" s="78"/>
      <c r="Z316" s="675"/>
      <c r="AA316" s="78"/>
      <c r="AB316" s="675"/>
      <c r="AC316" s="78"/>
      <c r="AD316" s="675"/>
      <c r="AE316" s="694">
        <f t="shared" si="145"/>
        <v>0</v>
      </c>
      <c r="AF316" s="695">
        <f t="shared" si="135"/>
        <v>0</v>
      </c>
      <c r="AG316" s="696">
        <f t="shared" si="146"/>
        <v>0</v>
      </c>
      <c r="AH316" s="697">
        <f t="shared" si="136"/>
        <v>0</v>
      </c>
      <c r="AI316" s="78"/>
      <c r="AJ316" s="675"/>
      <c r="AK316" s="694">
        <f t="shared" si="147"/>
        <v>0</v>
      </c>
      <c r="AL316" s="698">
        <f t="shared" si="148"/>
        <v>0</v>
      </c>
      <c r="AM316" s="78"/>
      <c r="AN316" s="675"/>
      <c r="AO316" s="78"/>
      <c r="AP316" s="675"/>
      <c r="AQ316" s="78"/>
      <c r="AR316" s="675"/>
      <c r="AS316" s="78"/>
      <c r="AT316" s="675"/>
      <c r="AU316" s="699">
        <f t="shared" si="137"/>
        <v>0</v>
      </c>
      <c r="AV316" s="695">
        <f t="shared" si="138"/>
        <v>0</v>
      </c>
      <c r="AW316" s="696">
        <f t="shared" si="139"/>
        <v>0</v>
      </c>
      <c r="AX316" s="697">
        <f t="shared" si="140"/>
        <v>0</v>
      </c>
      <c r="AY316" s="700">
        <f t="shared" si="149"/>
        <v>2803.9333333333334</v>
      </c>
      <c r="AZ316" s="697">
        <f t="shared" si="150"/>
        <v>3024.9333333333334</v>
      </c>
      <c r="BA316" s="703"/>
    </row>
    <row r="317" spans="1:53" s="300" customFormat="1">
      <c r="A317" s="661" t="s">
        <v>638</v>
      </c>
      <c r="B317" s="585" t="s">
        <v>960</v>
      </c>
      <c r="C317" s="482">
        <v>176239</v>
      </c>
      <c r="D317" s="662">
        <v>9</v>
      </c>
      <c r="E317" s="148" t="s">
        <v>393</v>
      </c>
      <c r="F317" s="149" t="s">
        <v>393</v>
      </c>
      <c r="G317" s="78"/>
      <c r="H317" s="675"/>
      <c r="I317" s="78">
        <v>42287</v>
      </c>
      <c r="J317" s="675">
        <v>45982</v>
      </c>
      <c r="K317" s="78">
        <v>9063</v>
      </c>
      <c r="L317" s="675">
        <v>10133</v>
      </c>
      <c r="M317" s="78">
        <v>51016</v>
      </c>
      <c r="N317" s="675">
        <v>58438</v>
      </c>
      <c r="O317" s="694">
        <f t="shared" si="141"/>
        <v>102366</v>
      </c>
      <c r="P317" s="695">
        <f t="shared" si="132"/>
        <v>3412.2</v>
      </c>
      <c r="Q317" s="696">
        <f t="shared" si="142"/>
        <v>114553</v>
      </c>
      <c r="R317" s="697">
        <f t="shared" si="134"/>
        <v>3818.4333333333334</v>
      </c>
      <c r="S317" s="78">
        <v>895</v>
      </c>
      <c r="T317" s="675">
        <v>1064</v>
      </c>
      <c r="U317" s="694">
        <f t="shared" si="143"/>
        <v>102366</v>
      </c>
      <c r="V317" s="698">
        <f t="shared" si="144"/>
        <v>114553</v>
      </c>
      <c r="W317" s="78"/>
      <c r="X317" s="675"/>
      <c r="Y317" s="78"/>
      <c r="Z317" s="675"/>
      <c r="AA317" s="78"/>
      <c r="AB317" s="675"/>
      <c r="AC317" s="78"/>
      <c r="AD317" s="675"/>
      <c r="AE317" s="694">
        <f t="shared" si="145"/>
        <v>0</v>
      </c>
      <c r="AF317" s="695">
        <f t="shared" si="135"/>
        <v>0</v>
      </c>
      <c r="AG317" s="696">
        <f t="shared" si="146"/>
        <v>0</v>
      </c>
      <c r="AH317" s="697">
        <f t="shared" si="136"/>
        <v>0</v>
      </c>
      <c r="AI317" s="78"/>
      <c r="AJ317" s="675"/>
      <c r="AK317" s="694">
        <f t="shared" si="147"/>
        <v>0</v>
      </c>
      <c r="AL317" s="698">
        <f t="shared" si="148"/>
        <v>0</v>
      </c>
      <c r="AM317" s="78"/>
      <c r="AN317" s="675"/>
      <c r="AO317" s="78"/>
      <c r="AP317" s="675"/>
      <c r="AQ317" s="78"/>
      <c r="AR317" s="675"/>
      <c r="AS317" s="78"/>
      <c r="AT317" s="675"/>
      <c r="AU317" s="699">
        <f t="shared" si="137"/>
        <v>0</v>
      </c>
      <c r="AV317" s="695">
        <f t="shared" si="138"/>
        <v>0</v>
      </c>
      <c r="AW317" s="696">
        <f t="shared" si="139"/>
        <v>0</v>
      </c>
      <c r="AX317" s="697">
        <f t="shared" si="140"/>
        <v>0</v>
      </c>
      <c r="AY317" s="700">
        <f t="shared" si="149"/>
        <v>3412.2</v>
      </c>
      <c r="AZ317" s="697">
        <f t="shared" si="150"/>
        <v>3818.4333333333334</v>
      </c>
      <c r="BA317" s="703"/>
    </row>
    <row r="318" spans="1:53" s="300" customFormat="1">
      <c r="A318" s="661" t="s">
        <v>638</v>
      </c>
      <c r="B318" s="585" t="s">
        <v>961</v>
      </c>
      <c r="C318" s="663">
        <v>175519</v>
      </c>
      <c r="D318" s="662">
        <v>10</v>
      </c>
      <c r="E318" s="148" t="s">
        <v>393</v>
      </c>
      <c r="F318" s="149" t="s">
        <v>393</v>
      </c>
      <c r="G318" s="78"/>
      <c r="H318" s="675"/>
      <c r="I318" s="78">
        <v>21034</v>
      </c>
      <c r="J318" s="675">
        <v>24704</v>
      </c>
      <c r="K318" s="78">
        <v>1708</v>
      </c>
      <c r="L318" s="675">
        <v>2050</v>
      </c>
      <c r="M318" s="78">
        <v>21634</v>
      </c>
      <c r="N318" s="675">
        <v>28100</v>
      </c>
      <c r="O318" s="694">
        <f t="shared" si="141"/>
        <v>44376</v>
      </c>
      <c r="P318" s="695">
        <f t="shared" si="132"/>
        <v>1479.2</v>
      </c>
      <c r="Q318" s="696">
        <f t="shared" si="142"/>
        <v>54854</v>
      </c>
      <c r="R318" s="697">
        <f t="shared" si="134"/>
        <v>1828.4666666666667</v>
      </c>
      <c r="S318" s="78">
        <v>880</v>
      </c>
      <c r="T318" s="675">
        <v>594</v>
      </c>
      <c r="U318" s="694">
        <f t="shared" si="143"/>
        <v>44376</v>
      </c>
      <c r="V318" s="698">
        <f t="shared" si="144"/>
        <v>54854</v>
      </c>
      <c r="W318" s="78"/>
      <c r="X318" s="675"/>
      <c r="Y318" s="78"/>
      <c r="Z318" s="675"/>
      <c r="AA318" s="78"/>
      <c r="AB318" s="675"/>
      <c r="AC318" s="78"/>
      <c r="AD318" s="675"/>
      <c r="AE318" s="694">
        <f t="shared" si="145"/>
        <v>0</v>
      </c>
      <c r="AF318" s="695">
        <f t="shared" si="135"/>
        <v>0</v>
      </c>
      <c r="AG318" s="696">
        <f t="shared" si="146"/>
        <v>0</v>
      </c>
      <c r="AH318" s="697">
        <f t="shared" si="136"/>
        <v>0</v>
      </c>
      <c r="AI318" s="78"/>
      <c r="AJ318" s="675"/>
      <c r="AK318" s="694">
        <f t="shared" si="147"/>
        <v>0</v>
      </c>
      <c r="AL318" s="698">
        <f t="shared" si="148"/>
        <v>0</v>
      </c>
      <c r="AM318" s="78"/>
      <c r="AN318" s="675"/>
      <c r="AO318" s="78"/>
      <c r="AP318" s="675"/>
      <c r="AQ318" s="78"/>
      <c r="AR318" s="675"/>
      <c r="AS318" s="78"/>
      <c r="AT318" s="675"/>
      <c r="AU318" s="699">
        <f t="shared" si="137"/>
        <v>0</v>
      </c>
      <c r="AV318" s="695">
        <f t="shared" si="138"/>
        <v>0</v>
      </c>
      <c r="AW318" s="696">
        <f t="shared" si="139"/>
        <v>0</v>
      </c>
      <c r="AX318" s="697">
        <f t="shared" si="140"/>
        <v>0</v>
      </c>
      <c r="AY318" s="700">
        <f t="shared" si="149"/>
        <v>1479.2</v>
      </c>
      <c r="AZ318" s="697">
        <f t="shared" si="150"/>
        <v>1828.4666666666667</v>
      </c>
      <c r="BA318" s="703"/>
    </row>
    <row r="319" spans="1:53" s="300" customFormat="1">
      <c r="A319" s="661" t="s">
        <v>638</v>
      </c>
      <c r="B319" s="585" t="s">
        <v>962</v>
      </c>
      <c r="C319" s="663">
        <v>176354</v>
      </c>
      <c r="D319" s="662">
        <v>10</v>
      </c>
      <c r="E319" s="148" t="s">
        <v>393</v>
      </c>
      <c r="F319" s="149" t="s">
        <v>393</v>
      </c>
      <c r="G319" s="78"/>
      <c r="H319" s="675"/>
      <c r="I319" s="78">
        <v>20878</v>
      </c>
      <c r="J319" s="675">
        <v>22509</v>
      </c>
      <c r="K319" s="78">
        <v>2632</v>
      </c>
      <c r="L319" s="675">
        <v>3125</v>
      </c>
      <c r="M319" s="78">
        <v>25412</v>
      </c>
      <c r="N319" s="675">
        <v>27592</v>
      </c>
      <c r="O319" s="694">
        <f t="shared" si="141"/>
        <v>48922</v>
      </c>
      <c r="P319" s="695">
        <f t="shared" si="132"/>
        <v>1630.7333333333333</v>
      </c>
      <c r="Q319" s="696">
        <f t="shared" si="142"/>
        <v>53226</v>
      </c>
      <c r="R319" s="697">
        <f t="shared" si="134"/>
        <v>1774.2</v>
      </c>
      <c r="S319" s="78">
        <v>415</v>
      </c>
      <c r="T319" s="675">
        <v>939</v>
      </c>
      <c r="U319" s="694">
        <f t="shared" si="143"/>
        <v>48922</v>
      </c>
      <c r="V319" s="698">
        <f t="shared" si="144"/>
        <v>53226</v>
      </c>
      <c r="W319" s="78"/>
      <c r="X319" s="675"/>
      <c r="Y319" s="78"/>
      <c r="Z319" s="675"/>
      <c r="AA319" s="78"/>
      <c r="AB319" s="675"/>
      <c r="AC319" s="78"/>
      <c r="AD319" s="675"/>
      <c r="AE319" s="694">
        <f t="shared" si="145"/>
        <v>0</v>
      </c>
      <c r="AF319" s="695">
        <f t="shared" si="135"/>
        <v>0</v>
      </c>
      <c r="AG319" s="696">
        <f t="shared" si="146"/>
        <v>0</v>
      </c>
      <c r="AH319" s="697">
        <f t="shared" si="136"/>
        <v>0</v>
      </c>
      <c r="AI319" s="78"/>
      <c r="AJ319" s="675"/>
      <c r="AK319" s="694">
        <f t="shared" si="147"/>
        <v>0</v>
      </c>
      <c r="AL319" s="698">
        <f t="shared" si="148"/>
        <v>0</v>
      </c>
      <c r="AM319" s="78"/>
      <c r="AN319" s="675"/>
      <c r="AO319" s="78"/>
      <c r="AP319" s="675"/>
      <c r="AQ319" s="78"/>
      <c r="AR319" s="675"/>
      <c r="AS319" s="78"/>
      <c r="AT319" s="675"/>
      <c r="AU319" s="699">
        <f t="shared" si="137"/>
        <v>0</v>
      </c>
      <c r="AV319" s="695">
        <f t="shared" si="138"/>
        <v>0</v>
      </c>
      <c r="AW319" s="696">
        <f t="shared" si="139"/>
        <v>0</v>
      </c>
      <c r="AX319" s="697">
        <f t="shared" si="140"/>
        <v>0</v>
      </c>
      <c r="AY319" s="700">
        <f t="shared" si="149"/>
        <v>1630.7333333333333</v>
      </c>
      <c r="AZ319" s="697">
        <f t="shared" si="150"/>
        <v>1774.2</v>
      </c>
      <c r="BA319" s="703"/>
    </row>
    <row r="320" spans="1:53">
      <c r="A320" s="517" t="s">
        <v>638</v>
      </c>
      <c r="B320" s="290" t="s">
        <v>645</v>
      </c>
      <c r="C320" s="297">
        <v>176035</v>
      </c>
      <c r="D320" s="153">
        <v>5</v>
      </c>
      <c r="E320" s="148" t="s">
        <v>393</v>
      </c>
      <c r="F320" s="149" t="s">
        <v>393</v>
      </c>
      <c r="G320" s="679"/>
      <c r="H320" s="678"/>
      <c r="I320" s="679">
        <v>24319</v>
      </c>
      <c r="J320" s="678">
        <v>24446</v>
      </c>
      <c r="K320" s="679">
        <v>5075</v>
      </c>
      <c r="L320" s="678">
        <v>6097</v>
      </c>
      <c r="M320" s="679">
        <v>26112</v>
      </c>
      <c r="N320" s="678">
        <v>27261</v>
      </c>
      <c r="O320" s="694">
        <f t="shared" si="141"/>
        <v>55506</v>
      </c>
      <c r="P320" s="695">
        <f t="shared" si="132"/>
        <v>1850.2</v>
      </c>
      <c r="Q320" s="696">
        <f t="shared" si="142"/>
        <v>57804</v>
      </c>
      <c r="R320" s="697">
        <f t="shared" si="134"/>
        <v>1926.8</v>
      </c>
      <c r="S320" s="686"/>
      <c r="T320" s="685"/>
      <c r="U320" s="694">
        <f t="shared" si="143"/>
        <v>0</v>
      </c>
      <c r="V320" s="698">
        <f t="shared" si="144"/>
        <v>0</v>
      </c>
      <c r="W320" s="679"/>
      <c r="X320" s="678"/>
      <c r="Y320" s="679"/>
      <c r="Z320" s="678"/>
      <c r="AA320" s="679"/>
      <c r="AB320" s="678"/>
      <c r="AC320" s="679"/>
      <c r="AD320" s="678"/>
      <c r="AE320" s="694">
        <f t="shared" si="145"/>
        <v>0</v>
      </c>
      <c r="AF320" s="695">
        <f t="shared" si="135"/>
        <v>0</v>
      </c>
      <c r="AG320" s="696">
        <f t="shared" si="146"/>
        <v>0</v>
      </c>
      <c r="AH320" s="697">
        <f t="shared" si="136"/>
        <v>0</v>
      </c>
      <c r="AI320" s="679"/>
      <c r="AJ320" s="678"/>
      <c r="AK320" s="694">
        <f t="shared" si="147"/>
        <v>0</v>
      </c>
      <c r="AL320" s="698">
        <f t="shared" si="148"/>
        <v>0</v>
      </c>
      <c r="AM320" s="679"/>
      <c r="AN320" s="678"/>
      <c r="AO320" s="679">
        <v>825</v>
      </c>
      <c r="AP320" s="678">
        <v>1386</v>
      </c>
      <c r="AQ320" s="679">
        <v>1093</v>
      </c>
      <c r="AR320" s="678">
        <v>1392</v>
      </c>
      <c r="AS320" s="679">
        <v>1177</v>
      </c>
      <c r="AT320" s="678">
        <v>1635</v>
      </c>
      <c r="AU320" s="699">
        <f t="shared" si="137"/>
        <v>3095</v>
      </c>
      <c r="AV320" s="695">
        <f t="shared" si="138"/>
        <v>128.95833333333334</v>
      </c>
      <c r="AW320" s="696">
        <f t="shared" si="139"/>
        <v>4413</v>
      </c>
      <c r="AX320" s="697">
        <f t="shared" si="140"/>
        <v>183.875</v>
      </c>
      <c r="AY320" s="700">
        <f t="shared" si="149"/>
        <v>1979.1583333333333</v>
      </c>
      <c r="AZ320" s="697">
        <f t="shared" si="150"/>
        <v>2110.6750000000002</v>
      </c>
      <c r="BA320" s="680"/>
    </row>
    <row r="321" spans="1:53">
      <c r="A321" s="520" t="s">
        <v>532</v>
      </c>
      <c r="B321" s="291" t="s">
        <v>590</v>
      </c>
      <c r="C321" s="521">
        <v>199193</v>
      </c>
      <c r="D321" s="156">
        <v>1</v>
      </c>
      <c r="E321" s="148" t="s">
        <v>393</v>
      </c>
      <c r="F321" s="149" t="s">
        <v>393</v>
      </c>
      <c r="G321" s="679"/>
      <c r="H321" s="678"/>
      <c r="I321" s="679">
        <v>306377</v>
      </c>
      <c r="J321" s="678">
        <v>316606</v>
      </c>
      <c r="K321" s="679">
        <v>52013</v>
      </c>
      <c r="L321" s="678">
        <v>56202</v>
      </c>
      <c r="M321" s="679">
        <v>337998</v>
      </c>
      <c r="N321" s="678">
        <v>344864</v>
      </c>
      <c r="O321" s="694">
        <f t="shared" si="141"/>
        <v>696388</v>
      </c>
      <c r="P321" s="695">
        <f t="shared" si="132"/>
        <v>23212.933333333334</v>
      </c>
      <c r="Q321" s="696">
        <f t="shared" si="142"/>
        <v>717672</v>
      </c>
      <c r="R321" s="697">
        <f t="shared" si="134"/>
        <v>23922.400000000001</v>
      </c>
      <c r="S321" s="679"/>
      <c r="T321" s="678"/>
      <c r="U321" s="694">
        <f t="shared" si="143"/>
        <v>0</v>
      </c>
      <c r="V321" s="698">
        <f t="shared" si="144"/>
        <v>0</v>
      </c>
      <c r="W321" s="679"/>
      <c r="X321" s="678"/>
      <c r="Y321" s="679"/>
      <c r="Z321" s="678"/>
      <c r="AA321" s="679"/>
      <c r="AB321" s="678"/>
      <c r="AC321" s="679"/>
      <c r="AD321" s="678"/>
      <c r="AE321" s="694">
        <f t="shared" si="145"/>
        <v>0</v>
      </c>
      <c r="AF321" s="695">
        <f t="shared" si="135"/>
        <v>0</v>
      </c>
      <c r="AG321" s="696">
        <f t="shared" si="146"/>
        <v>0</v>
      </c>
      <c r="AH321" s="697">
        <f t="shared" si="136"/>
        <v>0</v>
      </c>
      <c r="AI321" s="679"/>
      <c r="AJ321" s="678"/>
      <c r="AK321" s="694">
        <f t="shared" si="147"/>
        <v>0</v>
      </c>
      <c r="AL321" s="698">
        <f t="shared" si="148"/>
        <v>0</v>
      </c>
      <c r="AM321" s="679"/>
      <c r="AN321" s="678"/>
      <c r="AO321" s="679">
        <v>51210</v>
      </c>
      <c r="AP321" s="678">
        <v>54639</v>
      </c>
      <c r="AQ321" s="679">
        <v>7332</v>
      </c>
      <c r="AR321" s="678">
        <v>8049</v>
      </c>
      <c r="AS321" s="679">
        <v>57704</v>
      </c>
      <c r="AT321" s="678">
        <v>61663</v>
      </c>
      <c r="AU321" s="699">
        <f t="shared" ref="AU321:AU384" si="151">SUM(AM321,AO321,AQ321,AS321)</f>
        <v>116246</v>
      </c>
      <c r="AV321" s="695">
        <f t="shared" si="133"/>
        <v>4843.583333333333</v>
      </c>
      <c r="AW321" s="696">
        <f t="shared" ref="AW321:AW384" si="152">SUM(AN321,AP321,AR321,AT321)</f>
        <v>124351</v>
      </c>
      <c r="AX321" s="697">
        <f t="shared" ref="AX321:AX384" si="153">+AW321/24</f>
        <v>5181.291666666667</v>
      </c>
      <c r="AY321" s="700">
        <f t="shared" si="149"/>
        <v>28056.516666666666</v>
      </c>
      <c r="AZ321" s="697">
        <f t="shared" si="150"/>
        <v>29103.691666666669</v>
      </c>
      <c r="BA321" s="680"/>
    </row>
    <row r="322" spans="1:53">
      <c r="A322" s="520" t="s">
        <v>532</v>
      </c>
      <c r="B322" s="291" t="s">
        <v>591</v>
      </c>
      <c r="C322" s="521">
        <v>199120</v>
      </c>
      <c r="D322" s="156">
        <v>1</v>
      </c>
      <c r="E322" s="148" t="s">
        <v>393</v>
      </c>
      <c r="F322" s="149" t="s">
        <v>393</v>
      </c>
      <c r="G322" s="679"/>
      <c r="H322" s="678"/>
      <c r="I322" s="679">
        <v>220821</v>
      </c>
      <c r="J322" s="678">
        <v>228000</v>
      </c>
      <c r="K322" s="679">
        <v>33062</v>
      </c>
      <c r="L322" s="678">
        <v>35745</v>
      </c>
      <c r="M322" s="679">
        <v>241077</v>
      </c>
      <c r="N322" s="678">
        <v>244296</v>
      </c>
      <c r="O322" s="694">
        <f t="shared" si="141"/>
        <v>494960</v>
      </c>
      <c r="P322" s="695">
        <f t="shared" si="132"/>
        <v>16498.666666666668</v>
      </c>
      <c r="Q322" s="696">
        <f t="shared" si="142"/>
        <v>508041</v>
      </c>
      <c r="R322" s="697">
        <f t="shared" si="134"/>
        <v>16934.7</v>
      </c>
      <c r="S322" s="679">
        <v>0</v>
      </c>
      <c r="T322" s="678">
        <v>0</v>
      </c>
      <c r="U322" s="694">
        <f t="shared" si="143"/>
        <v>494960</v>
      </c>
      <c r="V322" s="698">
        <f t="shared" si="144"/>
        <v>508041</v>
      </c>
      <c r="W322" s="679"/>
      <c r="X322" s="678"/>
      <c r="Y322" s="679"/>
      <c r="Z322" s="678"/>
      <c r="AA322" s="679"/>
      <c r="AB322" s="678"/>
      <c r="AC322" s="679"/>
      <c r="AD322" s="678"/>
      <c r="AE322" s="694">
        <f t="shared" si="145"/>
        <v>0</v>
      </c>
      <c r="AF322" s="695">
        <f t="shared" si="135"/>
        <v>0</v>
      </c>
      <c r="AG322" s="696">
        <f t="shared" si="146"/>
        <v>0</v>
      </c>
      <c r="AH322" s="697">
        <f t="shared" si="136"/>
        <v>0</v>
      </c>
      <c r="AI322" s="679"/>
      <c r="AJ322" s="678"/>
      <c r="AK322" s="694">
        <f t="shared" si="147"/>
        <v>0</v>
      </c>
      <c r="AL322" s="698">
        <f t="shared" si="148"/>
        <v>0</v>
      </c>
      <c r="AM322" s="679"/>
      <c r="AN322" s="678"/>
      <c r="AO322" s="679">
        <v>82078</v>
      </c>
      <c r="AP322" s="678">
        <v>84000</v>
      </c>
      <c r="AQ322" s="679">
        <v>13026</v>
      </c>
      <c r="AR322" s="678">
        <v>14600</v>
      </c>
      <c r="AS322" s="679">
        <v>92314</v>
      </c>
      <c r="AT322" s="678">
        <v>92202</v>
      </c>
      <c r="AU322" s="699">
        <f t="shared" si="151"/>
        <v>187418</v>
      </c>
      <c r="AV322" s="695">
        <f t="shared" si="133"/>
        <v>7809.083333333333</v>
      </c>
      <c r="AW322" s="696">
        <f t="shared" si="152"/>
        <v>190802</v>
      </c>
      <c r="AX322" s="697">
        <f t="shared" si="153"/>
        <v>7950.083333333333</v>
      </c>
      <c r="AY322" s="700">
        <f t="shared" si="149"/>
        <v>24307.75</v>
      </c>
      <c r="AZ322" s="697">
        <f t="shared" si="150"/>
        <v>24884.783333333333</v>
      </c>
      <c r="BA322" s="680"/>
    </row>
    <row r="323" spans="1:53">
      <c r="A323" s="520" t="s">
        <v>532</v>
      </c>
      <c r="B323" s="291" t="s">
        <v>596</v>
      </c>
      <c r="C323" s="521">
        <v>199139</v>
      </c>
      <c r="D323" s="156">
        <v>2</v>
      </c>
      <c r="E323" s="148" t="s">
        <v>393</v>
      </c>
      <c r="F323" s="149" t="s">
        <v>393</v>
      </c>
      <c r="G323" s="679"/>
      <c r="H323" s="678"/>
      <c r="I323" s="679">
        <v>216563</v>
      </c>
      <c r="J323" s="678">
        <v>229730</v>
      </c>
      <c r="K323" s="679">
        <v>38693</v>
      </c>
      <c r="L323" s="678">
        <v>26954</v>
      </c>
      <c r="M323" s="679">
        <v>242637</v>
      </c>
      <c r="N323" s="678">
        <v>258471</v>
      </c>
      <c r="O323" s="694">
        <f t="shared" si="141"/>
        <v>497893</v>
      </c>
      <c r="P323" s="695">
        <f t="shared" si="132"/>
        <v>16596.433333333334</v>
      </c>
      <c r="Q323" s="696">
        <f t="shared" si="142"/>
        <v>515155</v>
      </c>
      <c r="R323" s="697">
        <f t="shared" ref="R323:R384" si="154">+Q323/30</f>
        <v>17171.833333333332</v>
      </c>
      <c r="S323" s="679">
        <v>0</v>
      </c>
      <c r="T323" s="678">
        <v>0</v>
      </c>
      <c r="U323" s="694">
        <f t="shared" si="143"/>
        <v>497893</v>
      </c>
      <c r="V323" s="698">
        <f t="shared" si="144"/>
        <v>515155</v>
      </c>
      <c r="W323" s="679"/>
      <c r="X323" s="678"/>
      <c r="Y323" s="679"/>
      <c r="Z323" s="678"/>
      <c r="AA323" s="679"/>
      <c r="AB323" s="678"/>
      <c r="AC323" s="679"/>
      <c r="AD323" s="678"/>
      <c r="AE323" s="694">
        <f t="shared" si="145"/>
        <v>0</v>
      </c>
      <c r="AF323" s="695">
        <f t="shared" si="135"/>
        <v>0</v>
      </c>
      <c r="AG323" s="696">
        <f t="shared" si="146"/>
        <v>0</v>
      </c>
      <c r="AH323" s="697">
        <f t="shared" si="136"/>
        <v>0</v>
      </c>
      <c r="AI323" s="679"/>
      <c r="AJ323" s="678"/>
      <c r="AK323" s="694">
        <f t="shared" si="147"/>
        <v>0</v>
      </c>
      <c r="AL323" s="698">
        <f t="shared" si="148"/>
        <v>0</v>
      </c>
      <c r="AM323" s="679"/>
      <c r="AN323" s="678"/>
      <c r="AO323" s="679">
        <v>28210</v>
      </c>
      <c r="AP323" s="678">
        <v>30960</v>
      </c>
      <c r="AQ323" s="679">
        <v>10226</v>
      </c>
      <c r="AR323" s="678">
        <v>8992</v>
      </c>
      <c r="AS323" s="679">
        <v>31074</v>
      </c>
      <c r="AT323" s="678">
        <v>32693</v>
      </c>
      <c r="AU323" s="699">
        <f t="shared" si="151"/>
        <v>69510</v>
      </c>
      <c r="AV323" s="695">
        <f t="shared" si="133"/>
        <v>2896.25</v>
      </c>
      <c r="AW323" s="696">
        <f t="shared" si="152"/>
        <v>72645</v>
      </c>
      <c r="AX323" s="697">
        <f t="shared" si="153"/>
        <v>3026.875</v>
      </c>
      <c r="AY323" s="700">
        <f t="shared" si="149"/>
        <v>19492.683333333334</v>
      </c>
      <c r="AZ323" s="697">
        <f t="shared" si="150"/>
        <v>20198.708333333332</v>
      </c>
      <c r="BA323" s="680"/>
    </row>
    <row r="324" spans="1:53">
      <c r="A324" s="520" t="s">
        <v>532</v>
      </c>
      <c r="B324" s="291" t="s">
        <v>592</v>
      </c>
      <c r="C324" s="521">
        <v>199148</v>
      </c>
      <c r="D324" s="156">
        <v>2</v>
      </c>
      <c r="E324" s="148" t="s">
        <v>393</v>
      </c>
      <c r="F324" s="149" t="s">
        <v>393</v>
      </c>
      <c r="G324" s="679"/>
      <c r="H324" s="678"/>
      <c r="I324" s="679">
        <v>173633</v>
      </c>
      <c r="J324" s="678">
        <v>186254</v>
      </c>
      <c r="K324" s="679">
        <v>26613</v>
      </c>
      <c r="L324" s="678">
        <v>27347</v>
      </c>
      <c r="M324" s="679">
        <v>193384</v>
      </c>
      <c r="N324" s="678">
        <v>209538</v>
      </c>
      <c r="O324" s="694">
        <f t="shared" si="141"/>
        <v>393630</v>
      </c>
      <c r="P324" s="695">
        <f t="shared" si="132"/>
        <v>13121</v>
      </c>
      <c r="Q324" s="696">
        <f t="shared" si="142"/>
        <v>423139</v>
      </c>
      <c r="R324" s="697">
        <f t="shared" si="154"/>
        <v>14104.633333333333</v>
      </c>
      <c r="S324" s="679">
        <v>12546</v>
      </c>
      <c r="T324" s="678">
        <v>22115</v>
      </c>
      <c r="U324" s="694">
        <f t="shared" si="143"/>
        <v>393630</v>
      </c>
      <c r="V324" s="698">
        <f t="shared" si="144"/>
        <v>423139</v>
      </c>
      <c r="W324" s="679"/>
      <c r="X324" s="678"/>
      <c r="Y324" s="679"/>
      <c r="Z324" s="678"/>
      <c r="AA324" s="679"/>
      <c r="AB324" s="678"/>
      <c r="AC324" s="679"/>
      <c r="AD324" s="678"/>
      <c r="AE324" s="694">
        <f t="shared" si="145"/>
        <v>0</v>
      </c>
      <c r="AF324" s="695">
        <f t="shared" si="135"/>
        <v>0</v>
      </c>
      <c r="AG324" s="696">
        <f t="shared" si="146"/>
        <v>0</v>
      </c>
      <c r="AH324" s="697">
        <f t="shared" si="136"/>
        <v>0</v>
      </c>
      <c r="AI324" s="679"/>
      <c r="AJ324" s="678"/>
      <c r="AK324" s="694">
        <f t="shared" si="147"/>
        <v>0</v>
      </c>
      <c r="AL324" s="698">
        <f t="shared" si="148"/>
        <v>0</v>
      </c>
      <c r="AM324" s="679"/>
      <c r="AN324" s="678"/>
      <c r="AO324" s="679">
        <v>29863</v>
      </c>
      <c r="AP324" s="678">
        <v>29708</v>
      </c>
      <c r="AQ324" s="679">
        <v>7287</v>
      </c>
      <c r="AR324" s="678">
        <v>7966</v>
      </c>
      <c r="AS324" s="679">
        <v>31091</v>
      </c>
      <c r="AT324" s="678">
        <v>31741</v>
      </c>
      <c r="AU324" s="699">
        <f t="shared" si="151"/>
        <v>68241</v>
      </c>
      <c r="AV324" s="695">
        <f t="shared" si="133"/>
        <v>2843.375</v>
      </c>
      <c r="AW324" s="696">
        <f t="shared" si="152"/>
        <v>69415</v>
      </c>
      <c r="AX324" s="697">
        <f t="shared" si="153"/>
        <v>2892.2916666666665</v>
      </c>
      <c r="AY324" s="700">
        <f t="shared" si="149"/>
        <v>15964.375</v>
      </c>
      <c r="AZ324" s="697">
        <f t="shared" si="150"/>
        <v>16996.924999999999</v>
      </c>
      <c r="BA324" s="680"/>
    </row>
    <row r="325" spans="1:53">
      <c r="A325" s="520" t="s">
        <v>532</v>
      </c>
      <c r="B325" s="291" t="s">
        <v>593</v>
      </c>
      <c r="C325" s="521">
        <v>197869</v>
      </c>
      <c r="D325" s="156">
        <v>3</v>
      </c>
      <c r="E325" s="148" t="s">
        <v>393</v>
      </c>
      <c r="F325" s="149" t="s">
        <v>393</v>
      </c>
      <c r="G325" s="679"/>
      <c r="H325" s="678"/>
      <c r="I325" s="679">
        <v>189910</v>
      </c>
      <c r="J325" s="678">
        <v>197755</v>
      </c>
      <c r="K325" s="679">
        <v>31256</v>
      </c>
      <c r="L325" s="678">
        <v>30275</v>
      </c>
      <c r="M325" s="679">
        <v>211078</v>
      </c>
      <c r="N325" s="678">
        <v>214918</v>
      </c>
      <c r="O325" s="694">
        <f t="shared" si="141"/>
        <v>432244</v>
      </c>
      <c r="P325" s="695">
        <f t="shared" si="132"/>
        <v>14408.133333333333</v>
      </c>
      <c r="Q325" s="696">
        <f t="shared" si="142"/>
        <v>442948</v>
      </c>
      <c r="R325" s="697">
        <f t="shared" si="154"/>
        <v>14764.933333333332</v>
      </c>
      <c r="S325" s="679">
        <v>0</v>
      </c>
      <c r="T325" s="678">
        <v>0</v>
      </c>
      <c r="U325" s="694">
        <f t="shared" si="143"/>
        <v>432244</v>
      </c>
      <c r="V325" s="698">
        <f t="shared" si="144"/>
        <v>442948</v>
      </c>
      <c r="W325" s="679"/>
      <c r="X325" s="678"/>
      <c r="Y325" s="679"/>
      <c r="Z325" s="678"/>
      <c r="AA325" s="679"/>
      <c r="AB325" s="678"/>
      <c r="AC325" s="679"/>
      <c r="AD325" s="678"/>
      <c r="AE325" s="694">
        <f t="shared" si="145"/>
        <v>0</v>
      </c>
      <c r="AF325" s="695">
        <f t="shared" ref="AF325:AF384" si="155">+AE325/900</f>
        <v>0</v>
      </c>
      <c r="AG325" s="696">
        <f t="shared" si="146"/>
        <v>0</v>
      </c>
      <c r="AH325" s="697">
        <f t="shared" ref="AH325:AH384" si="156">+AG325/900</f>
        <v>0</v>
      </c>
      <c r="AI325" s="679"/>
      <c r="AJ325" s="678"/>
      <c r="AK325" s="694">
        <f t="shared" si="147"/>
        <v>0</v>
      </c>
      <c r="AL325" s="698">
        <f t="shared" si="148"/>
        <v>0</v>
      </c>
      <c r="AM325" s="679"/>
      <c r="AN325" s="678"/>
      <c r="AO325" s="679">
        <v>13385</v>
      </c>
      <c r="AP325" s="678">
        <v>14334</v>
      </c>
      <c r="AQ325" s="679">
        <v>8353</v>
      </c>
      <c r="AR325" s="678">
        <v>8813</v>
      </c>
      <c r="AS325" s="679">
        <v>14527</v>
      </c>
      <c r="AT325" s="678">
        <v>14876</v>
      </c>
      <c r="AU325" s="699">
        <f t="shared" si="151"/>
        <v>36265</v>
      </c>
      <c r="AV325" s="695">
        <f t="shared" si="133"/>
        <v>1511.0416666666667</v>
      </c>
      <c r="AW325" s="696">
        <f t="shared" si="152"/>
        <v>38023</v>
      </c>
      <c r="AX325" s="697">
        <f t="shared" si="153"/>
        <v>1584.2916666666667</v>
      </c>
      <c r="AY325" s="700">
        <f t="shared" si="149"/>
        <v>15919.174999999999</v>
      </c>
      <c r="AZ325" s="697">
        <f t="shared" si="150"/>
        <v>16349.224999999999</v>
      </c>
      <c r="BA325" s="680"/>
    </row>
    <row r="326" spans="1:53" s="300" customFormat="1">
      <c r="A326" s="520" t="s">
        <v>532</v>
      </c>
      <c r="B326" s="291" t="s">
        <v>594</v>
      </c>
      <c r="C326" s="521">
        <v>198464</v>
      </c>
      <c r="D326" s="156">
        <v>3</v>
      </c>
      <c r="E326" s="148" t="s">
        <v>393</v>
      </c>
      <c r="F326" s="149" t="s">
        <v>393</v>
      </c>
      <c r="G326" s="679"/>
      <c r="H326" s="678"/>
      <c r="I326" s="679">
        <v>242035</v>
      </c>
      <c r="J326" s="678">
        <v>251474</v>
      </c>
      <c r="K326" s="679">
        <v>49175</v>
      </c>
      <c r="L326" s="678">
        <v>54505</v>
      </c>
      <c r="M326" s="679">
        <v>277518</v>
      </c>
      <c r="N326" s="678">
        <v>277555</v>
      </c>
      <c r="O326" s="694">
        <f t="shared" si="141"/>
        <v>568728</v>
      </c>
      <c r="P326" s="695">
        <f t="shared" si="132"/>
        <v>18957.599999999999</v>
      </c>
      <c r="Q326" s="696">
        <f t="shared" si="142"/>
        <v>583534</v>
      </c>
      <c r="R326" s="697">
        <f t="shared" si="154"/>
        <v>19451.133333333335</v>
      </c>
      <c r="S326" s="679">
        <v>0</v>
      </c>
      <c r="T326" s="678">
        <v>198</v>
      </c>
      <c r="U326" s="694">
        <f t="shared" si="143"/>
        <v>568728</v>
      </c>
      <c r="V326" s="698">
        <f t="shared" si="144"/>
        <v>583534</v>
      </c>
      <c r="W326" s="679"/>
      <c r="X326" s="678"/>
      <c r="Y326" s="679"/>
      <c r="Z326" s="678"/>
      <c r="AA326" s="679"/>
      <c r="AB326" s="678"/>
      <c r="AC326" s="679"/>
      <c r="AD326" s="678"/>
      <c r="AE326" s="694">
        <f t="shared" si="145"/>
        <v>0</v>
      </c>
      <c r="AF326" s="695">
        <f t="shared" si="155"/>
        <v>0</v>
      </c>
      <c r="AG326" s="696">
        <f t="shared" si="146"/>
        <v>0</v>
      </c>
      <c r="AH326" s="697">
        <f t="shared" si="156"/>
        <v>0</v>
      </c>
      <c r="AI326" s="679"/>
      <c r="AJ326" s="678"/>
      <c r="AK326" s="694">
        <f t="shared" si="147"/>
        <v>0</v>
      </c>
      <c r="AL326" s="698">
        <f t="shared" si="148"/>
        <v>0</v>
      </c>
      <c r="AM326" s="679"/>
      <c r="AN326" s="678"/>
      <c r="AO326" s="679">
        <v>35558</v>
      </c>
      <c r="AP326" s="678">
        <v>38138</v>
      </c>
      <c r="AQ326" s="679">
        <v>22180</v>
      </c>
      <c r="AR326" s="678">
        <v>21987</v>
      </c>
      <c r="AS326" s="679">
        <v>39620</v>
      </c>
      <c r="AT326" s="678">
        <v>44804</v>
      </c>
      <c r="AU326" s="699">
        <f t="shared" si="151"/>
        <v>97358</v>
      </c>
      <c r="AV326" s="695">
        <f t="shared" si="133"/>
        <v>4056.5833333333335</v>
      </c>
      <c r="AW326" s="696">
        <f t="shared" si="152"/>
        <v>104929</v>
      </c>
      <c r="AX326" s="697">
        <f t="shared" si="153"/>
        <v>4372.041666666667</v>
      </c>
      <c r="AY326" s="700">
        <f t="shared" si="149"/>
        <v>23014.183333333331</v>
      </c>
      <c r="AZ326" s="697">
        <f t="shared" si="150"/>
        <v>23823.175000000003</v>
      </c>
      <c r="BA326" s="703"/>
    </row>
    <row r="327" spans="1:53" s="300" customFormat="1">
      <c r="A327" s="520" t="s">
        <v>532</v>
      </c>
      <c r="B327" s="291" t="s">
        <v>78</v>
      </c>
      <c r="C327" s="521">
        <v>199102</v>
      </c>
      <c r="D327" s="156">
        <v>3</v>
      </c>
      <c r="E327" s="148" t="s">
        <v>393</v>
      </c>
      <c r="F327" s="149" t="s">
        <v>393</v>
      </c>
      <c r="G327" s="679"/>
      <c r="H327" s="678"/>
      <c r="I327" s="679">
        <v>119039</v>
      </c>
      <c r="J327" s="678">
        <v>114101</v>
      </c>
      <c r="K327" s="679">
        <v>21517</v>
      </c>
      <c r="L327" s="678">
        <v>22305</v>
      </c>
      <c r="M327" s="679">
        <v>122706</v>
      </c>
      <c r="N327" s="678">
        <v>124393</v>
      </c>
      <c r="O327" s="694">
        <f t="shared" si="141"/>
        <v>263262</v>
      </c>
      <c r="P327" s="695">
        <f t="shared" si="132"/>
        <v>8775.4</v>
      </c>
      <c r="Q327" s="696">
        <f t="shared" si="142"/>
        <v>260799</v>
      </c>
      <c r="R327" s="697">
        <f t="shared" si="154"/>
        <v>8693.2999999999993</v>
      </c>
      <c r="S327" s="679">
        <v>874</v>
      </c>
      <c r="T327" s="678">
        <v>1555</v>
      </c>
      <c r="U327" s="694">
        <f t="shared" si="143"/>
        <v>263262</v>
      </c>
      <c r="V327" s="698">
        <f t="shared" si="144"/>
        <v>260799</v>
      </c>
      <c r="W327" s="679"/>
      <c r="X327" s="678"/>
      <c r="Y327" s="679"/>
      <c r="Z327" s="678"/>
      <c r="AA327" s="679"/>
      <c r="AB327" s="678"/>
      <c r="AC327" s="679"/>
      <c r="AD327" s="678"/>
      <c r="AE327" s="694">
        <f t="shared" si="145"/>
        <v>0</v>
      </c>
      <c r="AF327" s="695">
        <f t="shared" si="155"/>
        <v>0</v>
      </c>
      <c r="AG327" s="696">
        <f t="shared" si="146"/>
        <v>0</v>
      </c>
      <c r="AH327" s="697">
        <f t="shared" si="156"/>
        <v>0</v>
      </c>
      <c r="AI327" s="679"/>
      <c r="AJ327" s="678"/>
      <c r="AK327" s="694">
        <f t="shared" si="147"/>
        <v>0</v>
      </c>
      <c r="AL327" s="698">
        <f t="shared" si="148"/>
        <v>0</v>
      </c>
      <c r="AM327" s="679"/>
      <c r="AN327" s="678"/>
      <c r="AO327" s="679">
        <v>14723</v>
      </c>
      <c r="AP327" s="678">
        <v>15677</v>
      </c>
      <c r="AQ327" s="679">
        <v>4012</v>
      </c>
      <c r="AR327" s="678">
        <v>3697</v>
      </c>
      <c r="AS327" s="679">
        <v>14601</v>
      </c>
      <c r="AT327" s="678">
        <v>15104</v>
      </c>
      <c r="AU327" s="699">
        <f t="shared" si="151"/>
        <v>33336</v>
      </c>
      <c r="AV327" s="695">
        <f t="shared" si="133"/>
        <v>1389</v>
      </c>
      <c r="AW327" s="696">
        <f t="shared" si="152"/>
        <v>34478</v>
      </c>
      <c r="AX327" s="697">
        <f t="shared" si="153"/>
        <v>1436.5833333333333</v>
      </c>
      <c r="AY327" s="700">
        <f t="shared" si="149"/>
        <v>10164.4</v>
      </c>
      <c r="AZ327" s="697">
        <f t="shared" si="150"/>
        <v>10129.883333333333</v>
      </c>
      <c r="BA327" s="703"/>
    </row>
    <row r="328" spans="1:53" s="300" customFormat="1">
      <c r="A328" s="520" t="s">
        <v>532</v>
      </c>
      <c r="B328" s="291" t="s">
        <v>595</v>
      </c>
      <c r="C328" s="521">
        <v>199157</v>
      </c>
      <c r="D328" s="156">
        <v>3</v>
      </c>
      <c r="E328" s="148" t="s">
        <v>393</v>
      </c>
      <c r="F328" s="149" t="s">
        <v>393</v>
      </c>
      <c r="G328" s="679"/>
      <c r="H328" s="678"/>
      <c r="I328" s="679">
        <v>77938</v>
      </c>
      <c r="J328" s="678">
        <v>75350</v>
      </c>
      <c r="K328" s="679">
        <v>18523</v>
      </c>
      <c r="L328" s="678">
        <v>20964</v>
      </c>
      <c r="M328" s="679">
        <v>80189</v>
      </c>
      <c r="N328" s="678">
        <v>86883</v>
      </c>
      <c r="O328" s="694">
        <f t="shared" si="141"/>
        <v>176650</v>
      </c>
      <c r="P328" s="695">
        <f t="shared" si="132"/>
        <v>5888.333333333333</v>
      </c>
      <c r="Q328" s="696">
        <f t="shared" si="142"/>
        <v>183197</v>
      </c>
      <c r="R328" s="697">
        <f t="shared" si="154"/>
        <v>6106.5666666666666</v>
      </c>
      <c r="S328" s="679">
        <v>3547</v>
      </c>
      <c r="T328" s="678">
        <v>4100</v>
      </c>
      <c r="U328" s="694">
        <f t="shared" si="143"/>
        <v>176650</v>
      </c>
      <c r="V328" s="698">
        <f t="shared" si="144"/>
        <v>183197</v>
      </c>
      <c r="W328" s="679"/>
      <c r="X328" s="678"/>
      <c r="Y328" s="679"/>
      <c r="Z328" s="678"/>
      <c r="AA328" s="679"/>
      <c r="AB328" s="678"/>
      <c r="AC328" s="679"/>
      <c r="AD328" s="678"/>
      <c r="AE328" s="694">
        <f t="shared" si="145"/>
        <v>0</v>
      </c>
      <c r="AF328" s="695">
        <f t="shared" si="155"/>
        <v>0</v>
      </c>
      <c r="AG328" s="696">
        <f t="shared" si="146"/>
        <v>0</v>
      </c>
      <c r="AH328" s="697">
        <f t="shared" si="156"/>
        <v>0</v>
      </c>
      <c r="AI328" s="679"/>
      <c r="AJ328" s="678"/>
      <c r="AK328" s="694">
        <f t="shared" si="147"/>
        <v>0</v>
      </c>
      <c r="AL328" s="698">
        <f t="shared" si="148"/>
        <v>0</v>
      </c>
      <c r="AM328" s="679"/>
      <c r="AN328" s="678"/>
      <c r="AO328" s="679">
        <v>17771</v>
      </c>
      <c r="AP328" s="678">
        <v>18622</v>
      </c>
      <c r="AQ328" s="679">
        <v>4875</v>
      </c>
      <c r="AR328" s="678">
        <v>4421</v>
      </c>
      <c r="AS328" s="679">
        <v>18741</v>
      </c>
      <c r="AT328" s="678">
        <v>19268</v>
      </c>
      <c r="AU328" s="699">
        <f t="shared" si="151"/>
        <v>41387</v>
      </c>
      <c r="AV328" s="695">
        <f t="shared" si="133"/>
        <v>1724.4583333333333</v>
      </c>
      <c r="AW328" s="696">
        <f t="shared" si="152"/>
        <v>42311</v>
      </c>
      <c r="AX328" s="697">
        <f t="shared" si="153"/>
        <v>1762.9583333333333</v>
      </c>
      <c r="AY328" s="700">
        <f t="shared" si="149"/>
        <v>7612.7916666666661</v>
      </c>
      <c r="AZ328" s="697">
        <f t="shared" si="150"/>
        <v>7869.5249999999996</v>
      </c>
      <c r="BA328" s="703"/>
    </row>
    <row r="329" spans="1:53" s="300" customFormat="1">
      <c r="A329" s="520" t="s">
        <v>532</v>
      </c>
      <c r="B329" s="291" t="s">
        <v>597</v>
      </c>
      <c r="C329" s="521">
        <v>199218</v>
      </c>
      <c r="D329" s="156">
        <v>3</v>
      </c>
      <c r="E329" s="148" t="s">
        <v>393</v>
      </c>
      <c r="F329" s="149" t="s">
        <v>393</v>
      </c>
      <c r="G329" s="679"/>
      <c r="H329" s="678"/>
      <c r="I329" s="679">
        <v>141594</v>
      </c>
      <c r="J329" s="678">
        <v>145664</v>
      </c>
      <c r="K329" s="679">
        <v>27182</v>
      </c>
      <c r="L329" s="678">
        <v>27224</v>
      </c>
      <c r="M329" s="679">
        <v>157835</v>
      </c>
      <c r="N329" s="678">
        <v>161748</v>
      </c>
      <c r="O329" s="694">
        <f t="shared" si="141"/>
        <v>326611</v>
      </c>
      <c r="P329" s="695">
        <f t="shared" si="132"/>
        <v>10887.033333333333</v>
      </c>
      <c r="Q329" s="696">
        <f t="shared" si="142"/>
        <v>334636</v>
      </c>
      <c r="R329" s="697">
        <f t="shared" si="154"/>
        <v>11154.533333333333</v>
      </c>
      <c r="S329" s="679">
        <v>646</v>
      </c>
      <c r="T329" s="678">
        <v>2196</v>
      </c>
      <c r="U329" s="694">
        <f t="shared" si="143"/>
        <v>326611</v>
      </c>
      <c r="V329" s="698">
        <f t="shared" si="144"/>
        <v>334636</v>
      </c>
      <c r="W329" s="679"/>
      <c r="X329" s="678"/>
      <c r="Y329" s="679"/>
      <c r="Z329" s="678"/>
      <c r="AA329" s="679"/>
      <c r="AB329" s="678"/>
      <c r="AC329" s="679"/>
      <c r="AD329" s="678"/>
      <c r="AE329" s="694">
        <f t="shared" si="145"/>
        <v>0</v>
      </c>
      <c r="AF329" s="695">
        <f t="shared" si="155"/>
        <v>0</v>
      </c>
      <c r="AG329" s="696">
        <f t="shared" si="146"/>
        <v>0</v>
      </c>
      <c r="AH329" s="697">
        <f t="shared" si="156"/>
        <v>0</v>
      </c>
      <c r="AI329" s="679"/>
      <c r="AJ329" s="678"/>
      <c r="AK329" s="694">
        <f t="shared" si="147"/>
        <v>0</v>
      </c>
      <c r="AL329" s="698">
        <f t="shared" si="148"/>
        <v>0</v>
      </c>
      <c r="AM329" s="679"/>
      <c r="AN329" s="678"/>
      <c r="AO329" s="679">
        <v>8058</v>
      </c>
      <c r="AP329" s="678">
        <v>9003</v>
      </c>
      <c r="AQ329" s="679">
        <v>2687</v>
      </c>
      <c r="AR329" s="678">
        <v>2717</v>
      </c>
      <c r="AS329" s="679">
        <v>9585</v>
      </c>
      <c r="AT329" s="678">
        <v>9743</v>
      </c>
      <c r="AU329" s="699">
        <f t="shared" si="151"/>
        <v>20330</v>
      </c>
      <c r="AV329" s="695">
        <f t="shared" si="133"/>
        <v>847.08333333333337</v>
      </c>
      <c r="AW329" s="696">
        <f t="shared" si="152"/>
        <v>21463</v>
      </c>
      <c r="AX329" s="697">
        <f t="shared" si="153"/>
        <v>894.29166666666663</v>
      </c>
      <c r="AY329" s="700">
        <f t="shared" si="149"/>
        <v>11734.116666666667</v>
      </c>
      <c r="AZ329" s="697">
        <f t="shared" si="150"/>
        <v>12048.824999999999</v>
      </c>
      <c r="BA329" s="703"/>
    </row>
    <row r="330" spans="1:53" s="300" customFormat="1">
      <c r="A330" s="520" t="s">
        <v>532</v>
      </c>
      <c r="B330" s="291" t="s">
        <v>598</v>
      </c>
      <c r="C330" s="521">
        <v>200004</v>
      </c>
      <c r="D330" s="156">
        <v>3</v>
      </c>
      <c r="E330" s="148" t="s">
        <v>393</v>
      </c>
      <c r="F330" s="149" t="s">
        <v>393</v>
      </c>
      <c r="G330" s="679"/>
      <c r="H330" s="678"/>
      <c r="I330" s="679">
        <v>89807</v>
      </c>
      <c r="J330" s="678">
        <v>88670</v>
      </c>
      <c r="K330" s="679">
        <v>15087</v>
      </c>
      <c r="L330" s="678">
        <v>16576</v>
      </c>
      <c r="M330" s="679">
        <v>95088</v>
      </c>
      <c r="N330" s="678">
        <v>100125</v>
      </c>
      <c r="O330" s="694">
        <f t="shared" si="141"/>
        <v>199982</v>
      </c>
      <c r="P330" s="695">
        <f t="shared" si="132"/>
        <v>6666.0666666666666</v>
      </c>
      <c r="Q330" s="696">
        <f t="shared" si="142"/>
        <v>205371</v>
      </c>
      <c r="R330" s="697">
        <f t="shared" si="154"/>
        <v>6845.7</v>
      </c>
      <c r="S330" s="679">
        <v>0</v>
      </c>
      <c r="T330" s="678">
        <v>0</v>
      </c>
      <c r="U330" s="694">
        <f t="shared" si="143"/>
        <v>199982</v>
      </c>
      <c r="V330" s="698">
        <f t="shared" si="144"/>
        <v>205371</v>
      </c>
      <c r="W330" s="679"/>
      <c r="X330" s="678"/>
      <c r="Y330" s="679"/>
      <c r="Z330" s="678"/>
      <c r="AA330" s="679"/>
      <c r="AB330" s="678"/>
      <c r="AC330" s="679"/>
      <c r="AD330" s="678"/>
      <c r="AE330" s="694">
        <f t="shared" si="145"/>
        <v>0</v>
      </c>
      <c r="AF330" s="695">
        <f t="shared" si="155"/>
        <v>0</v>
      </c>
      <c r="AG330" s="696">
        <f t="shared" si="146"/>
        <v>0</v>
      </c>
      <c r="AH330" s="697">
        <f t="shared" si="156"/>
        <v>0</v>
      </c>
      <c r="AI330" s="679"/>
      <c r="AJ330" s="678"/>
      <c r="AK330" s="694">
        <f t="shared" si="147"/>
        <v>0</v>
      </c>
      <c r="AL330" s="698">
        <f t="shared" si="148"/>
        <v>0</v>
      </c>
      <c r="AM330" s="679"/>
      <c r="AN330" s="678"/>
      <c r="AO330" s="679">
        <v>12008</v>
      </c>
      <c r="AP330" s="678">
        <v>12427</v>
      </c>
      <c r="AQ330" s="679">
        <v>6787</v>
      </c>
      <c r="AR330" s="678">
        <v>6749</v>
      </c>
      <c r="AS330" s="679">
        <v>12709</v>
      </c>
      <c r="AT330" s="678">
        <v>13577</v>
      </c>
      <c r="AU330" s="699">
        <f t="shared" si="151"/>
        <v>31504</v>
      </c>
      <c r="AV330" s="695">
        <f t="shared" si="133"/>
        <v>1312.6666666666667</v>
      </c>
      <c r="AW330" s="696">
        <f t="shared" si="152"/>
        <v>32753</v>
      </c>
      <c r="AX330" s="697">
        <f t="shared" si="153"/>
        <v>1364.7083333333333</v>
      </c>
      <c r="AY330" s="700">
        <f t="shared" si="149"/>
        <v>7978.7333333333336</v>
      </c>
      <c r="AZ330" s="697">
        <f t="shared" si="150"/>
        <v>8210.4083333333328</v>
      </c>
      <c r="BA330" s="703"/>
    </row>
    <row r="331" spans="1:53" s="300" customFormat="1">
      <c r="A331" s="520" t="s">
        <v>532</v>
      </c>
      <c r="B331" s="291" t="s">
        <v>599</v>
      </c>
      <c r="C331" s="521">
        <v>198543</v>
      </c>
      <c r="D331" s="156">
        <v>4</v>
      </c>
      <c r="E331" s="148" t="s">
        <v>393</v>
      </c>
      <c r="F331" s="149" t="s">
        <v>393</v>
      </c>
      <c r="G331" s="679"/>
      <c r="H331" s="678"/>
      <c r="I331" s="679">
        <v>76566</v>
      </c>
      <c r="J331" s="678">
        <v>64339</v>
      </c>
      <c r="K331" s="679">
        <v>20365</v>
      </c>
      <c r="L331" s="678">
        <v>20023</v>
      </c>
      <c r="M331" s="679">
        <v>70479</v>
      </c>
      <c r="N331" s="678">
        <v>70752</v>
      </c>
      <c r="O331" s="694">
        <f t="shared" si="141"/>
        <v>167410</v>
      </c>
      <c r="P331" s="695">
        <f t="shared" si="132"/>
        <v>5580.333333333333</v>
      </c>
      <c r="Q331" s="696">
        <f t="shared" si="142"/>
        <v>155114</v>
      </c>
      <c r="R331" s="697">
        <f t="shared" si="154"/>
        <v>5170.4666666666662</v>
      </c>
      <c r="S331" s="679">
        <v>1605</v>
      </c>
      <c r="T331" s="678">
        <v>2360</v>
      </c>
      <c r="U331" s="694">
        <f t="shared" si="143"/>
        <v>167410</v>
      </c>
      <c r="V331" s="698">
        <f t="shared" si="144"/>
        <v>155114</v>
      </c>
      <c r="W331" s="679"/>
      <c r="X331" s="678"/>
      <c r="Y331" s="679"/>
      <c r="Z331" s="678"/>
      <c r="AA331" s="679"/>
      <c r="AB331" s="678"/>
      <c r="AC331" s="679"/>
      <c r="AD331" s="678"/>
      <c r="AE331" s="694">
        <f t="shared" si="145"/>
        <v>0</v>
      </c>
      <c r="AF331" s="695">
        <f t="shared" si="155"/>
        <v>0</v>
      </c>
      <c r="AG331" s="696">
        <f t="shared" si="146"/>
        <v>0</v>
      </c>
      <c r="AH331" s="697">
        <f t="shared" si="156"/>
        <v>0</v>
      </c>
      <c r="AI331" s="679"/>
      <c r="AJ331" s="678"/>
      <c r="AK331" s="694">
        <f t="shared" si="147"/>
        <v>0</v>
      </c>
      <c r="AL331" s="698">
        <f t="shared" si="148"/>
        <v>0</v>
      </c>
      <c r="AM331" s="679"/>
      <c r="AN331" s="678"/>
      <c r="AO331" s="679">
        <v>5339</v>
      </c>
      <c r="AP331" s="678">
        <v>3862</v>
      </c>
      <c r="AQ331" s="679">
        <v>1429</v>
      </c>
      <c r="AR331" s="678">
        <v>1134</v>
      </c>
      <c r="AS331" s="679">
        <v>4546</v>
      </c>
      <c r="AT331" s="678">
        <v>4060</v>
      </c>
      <c r="AU331" s="699">
        <f t="shared" si="151"/>
        <v>11314</v>
      </c>
      <c r="AV331" s="695">
        <f t="shared" si="133"/>
        <v>471.41666666666669</v>
      </c>
      <c r="AW331" s="696">
        <f t="shared" si="152"/>
        <v>9056</v>
      </c>
      <c r="AX331" s="697">
        <f t="shared" si="153"/>
        <v>377.33333333333331</v>
      </c>
      <c r="AY331" s="700">
        <f t="shared" si="149"/>
        <v>6051.75</v>
      </c>
      <c r="AZ331" s="697">
        <f t="shared" si="150"/>
        <v>5547.7999999999993</v>
      </c>
      <c r="BA331" s="703"/>
    </row>
    <row r="332" spans="1:53" s="300" customFormat="1">
      <c r="A332" s="520" t="s">
        <v>532</v>
      </c>
      <c r="B332" s="291" t="s">
        <v>600</v>
      </c>
      <c r="C332" s="521">
        <v>199281</v>
      </c>
      <c r="D332" s="156">
        <v>5</v>
      </c>
      <c r="E332" s="148" t="s">
        <v>393</v>
      </c>
      <c r="F332" s="149" t="s">
        <v>393</v>
      </c>
      <c r="G332" s="679"/>
      <c r="H332" s="678"/>
      <c r="I332" s="679">
        <v>61635</v>
      </c>
      <c r="J332" s="678">
        <v>65620</v>
      </c>
      <c r="K332" s="679">
        <v>15046</v>
      </c>
      <c r="L332" s="678">
        <v>16532</v>
      </c>
      <c r="M332" s="679">
        <v>70251</v>
      </c>
      <c r="N332" s="678">
        <v>75403</v>
      </c>
      <c r="O332" s="694">
        <f t="shared" si="141"/>
        <v>146932</v>
      </c>
      <c r="P332" s="695">
        <f t="shared" si="132"/>
        <v>4897.7333333333336</v>
      </c>
      <c r="Q332" s="696">
        <f t="shared" si="142"/>
        <v>157555</v>
      </c>
      <c r="R332" s="697">
        <f t="shared" si="154"/>
        <v>5251.833333333333</v>
      </c>
      <c r="S332" s="679">
        <v>0</v>
      </c>
      <c r="T332" s="678">
        <v>0</v>
      </c>
      <c r="U332" s="694">
        <f t="shared" si="143"/>
        <v>146932</v>
      </c>
      <c r="V332" s="698">
        <f t="shared" si="144"/>
        <v>157555</v>
      </c>
      <c r="W332" s="679"/>
      <c r="X332" s="678"/>
      <c r="Y332" s="679"/>
      <c r="Z332" s="678"/>
      <c r="AA332" s="679"/>
      <c r="AB332" s="678"/>
      <c r="AC332" s="679"/>
      <c r="AD332" s="678"/>
      <c r="AE332" s="694">
        <f t="shared" si="145"/>
        <v>0</v>
      </c>
      <c r="AF332" s="695">
        <f t="shared" si="155"/>
        <v>0</v>
      </c>
      <c r="AG332" s="696">
        <f t="shared" si="146"/>
        <v>0</v>
      </c>
      <c r="AH332" s="697">
        <f t="shared" si="156"/>
        <v>0</v>
      </c>
      <c r="AI332" s="679"/>
      <c r="AJ332" s="678"/>
      <c r="AK332" s="694">
        <f t="shared" si="147"/>
        <v>0</v>
      </c>
      <c r="AL332" s="698">
        <f t="shared" si="148"/>
        <v>0</v>
      </c>
      <c r="AM332" s="679"/>
      <c r="AN332" s="678"/>
      <c r="AO332" s="679">
        <v>3669</v>
      </c>
      <c r="AP332" s="678">
        <v>3914</v>
      </c>
      <c r="AQ332" s="679">
        <v>2682</v>
      </c>
      <c r="AR332" s="678">
        <v>2779</v>
      </c>
      <c r="AS332" s="679">
        <v>3744</v>
      </c>
      <c r="AT332" s="678">
        <v>4171</v>
      </c>
      <c r="AU332" s="699">
        <f t="shared" si="151"/>
        <v>10095</v>
      </c>
      <c r="AV332" s="695">
        <f t="shared" si="133"/>
        <v>420.625</v>
      </c>
      <c r="AW332" s="696">
        <f t="shared" si="152"/>
        <v>10864</v>
      </c>
      <c r="AX332" s="697">
        <f t="shared" si="153"/>
        <v>452.66666666666669</v>
      </c>
      <c r="AY332" s="700">
        <f t="shared" si="149"/>
        <v>5318.3583333333336</v>
      </c>
      <c r="AZ332" s="697">
        <f t="shared" si="150"/>
        <v>5704.5</v>
      </c>
      <c r="BA332" s="703"/>
    </row>
    <row r="333" spans="1:53" s="300" customFormat="1">
      <c r="A333" s="520" t="s">
        <v>532</v>
      </c>
      <c r="B333" s="291" t="s">
        <v>603</v>
      </c>
      <c r="C333" s="521">
        <v>199999</v>
      </c>
      <c r="D333" s="156">
        <v>5</v>
      </c>
      <c r="E333" s="148" t="s">
        <v>393</v>
      </c>
      <c r="F333" s="149" t="s">
        <v>393</v>
      </c>
      <c r="G333" s="679"/>
      <c r="H333" s="678"/>
      <c r="I333" s="679">
        <v>73028</v>
      </c>
      <c r="J333" s="678">
        <v>81060</v>
      </c>
      <c r="K333" s="679">
        <v>10745</v>
      </c>
      <c r="L333" s="678">
        <v>12852</v>
      </c>
      <c r="M333" s="679">
        <v>84020</v>
      </c>
      <c r="N333" s="678">
        <v>83257</v>
      </c>
      <c r="O333" s="694">
        <f t="shared" si="141"/>
        <v>167793</v>
      </c>
      <c r="P333" s="695">
        <f t="shared" si="132"/>
        <v>5593.1</v>
      </c>
      <c r="Q333" s="696">
        <f t="shared" si="142"/>
        <v>177169</v>
      </c>
      <c r="R333" s="697">
        <f t="shared" si="154"/>
        <v>5905.6333333333332</v>
      </c>
      <c r="S333" s="679">
        <v>0</v>
      </c>
      <c r="T333" s="678">
        <v>0</v>
      </c>
      <c r="U333" s="694">
        <f t="shared" si="143"/>
        <v>167793</v>
      </c>
      <c r="V333" s="698">
        <f t="shared" si="144"/>
        <v>177169</v>
      </c>
      <c r="W333" s="679"/>
      <c r="X333" s="678"/>
      <c r="Y333" s="679"/>
      <c r="Z333" s="678"/>
      <c r="AA333" s="679"/>
      <c r="AB333" s="678"/>
      <c r="AC333" s="679"/>
      <c r="AD333" s="678"/>
      <c r="AE333" s="694">
        <f t="shared" si="145"/>
        <v>0</v>
      </c>
      <c r="AF333" s="695">
        <f t="shared" si="155"/>
        <v>0</v>
      </c>
      <c r="AG333" s="696">
        <f t="shared" si="146"/>
        <v>0</v>
      </c>
      <c r="AH333" s="697">
        <f t="shared" si="156"/>
        <v>0</v>
      </c>
      <c r="AI333" s="679"/>
      <c r="AJ333" s="678"/>
      <c r="AK333" s="694">
        <f t="shared" si="147"/>
        <v>0</v>
      </c>
      <c r="AL333" s="698">
        <f t="shared" si="148"/>
        <v>0</v>
      </c>
      <c r="AM333" s="679"/>
      <c r="AN333" s="678"/>
      <c r="AO333" s="679">
        <v>3404</v>
      </c>
      <c r="AP333" s="678">
        <v>4070</v>
      </c>
      <c r="AQ333" s="679">
        <v>1310</v>
      </c>
      <c r="AR333" s="678">
        <v>1885</v>
      </c>
      <c r="AS333" s="679">
        <v>4297</v>
      </c>
      <c r="AT333" s="678">
        <v>4240</v>
      </c>
      <c r="AU333" s="699">
        <f t="shared" si="151"/>
        <v>9011</v>
      </c>
      <c r="AV333" s="695">
        <f t="shared" si="133"/>
        <v>375.45833333333331</v>
      </c>
      <c r="AW333" s="696">
        <f t="shared" si="152"/>
        <v>10195</v>
      </c>
      <c r="AX333" s="697">
        <f t="shared" si="153"/>
        <v>424.79166666666669</v>
      </c>
      <c r="AY333" s="700">
        <f t="shared" si="149"/>
        <v>5968.5583333333334</v>
      </c>
      <c r="AZ333" s="697">
        <f t="shared" si="150"/>
        <v>6330.4250000000002</v>
      </c>
      <c r="BA333" s="703"/>
    </row>
    <row r="334" spans="1:53" s="300" customFormat="1">
      <c r="A334" s="520" t="s">
        <v>532</v>
      </c>
      <c r="B334" s="291" t="s">
        <v>601</v>
      </c>
      <c r="C334" s="521">
        <v>198507</v>
      </c>
      <c r="D334" s="156">
        <v>6</v>
      </c>
      <c r="E334" s="148" t="s">
        <v>393</v>
      </c>
      <c r="F334" s="149" t="s">
        <v>393</v>
      </c>
      <c r="G334" s="679"/>
      <c r="H334" s="678"/>
      <c r="I334" s="679">
        <v>38820</v>
      </c>
      <c r="J334" s="678">
        <v>41192</v>
      </c>
      <c r="K334" s="679">
        <v>6511</v>
      </c>
      <c r="L334" s="678">
        <v>8284</v>
      </c>
      <c r="M334" s="679">
        <v>43790</v>
      </c>
      <c r="N334" s="678">
        <v>46511</v>
      </c>
      <c r="O334" s="694">
        <f t="shared" si="141"/>
        <v>89121</v>
      </c>
      <c r="P334" s="695">
        <f t="shared" si="132"/>
        <v>2970.7</v>
      </c>
      <c r="Q334" s="696">
        <f t="shared" si="142"/>
        <v>95987</v>
      </c>
      <c r="R334" s="697">
        <f t="shared" si="154"/>
        <v>3199.5666666666666</v>
      </c>
      <c r="S334" s="679">
        <v>0</v>
      </c>
      <c r="T334" s="678">
        <v>0</v>
      </c>
      <c r="U334" s="694">
        <f t="shared" si="143"/>
        <v>89121</v>
      </c>
      <c r="V334" s="698">
        <f t="shared" si="144"/>
        <v>95987</v>
      </c>
      <c r="W334" s="679"/>
      <c r="X334" s="678"/>
      <c r="Y334" s="679"/>
      <c r="Z334" s="678"/>
      <c r="AA334" s="679"/>
      <c r="AB334" s="678"/>
      <c r="AC334" s="679"/>
      <c r="AD334" s="678"/>
      <c r="AE334" s="694">
        <f t="shared" si="145"/>
        <v>0</v>
      </c>
      <c r="AF334" s="695">
        <f t="shared" si="155"/>
        <v>0</v>
      </c>
      <c r="AG334" s="696">
        <f t="shared" si="146"/>
        <v>0</v>
      </c>
      <c r="AH334" s="697">
        <f t="shared" si="156"/>
        <v>0</v>
      </c>
      <c r="AI334" s="679"/>
      <c r="AJ334" s="678"/>
      <c r="AK334" s="694">
        <f t="shared" si="147"/>
        <v>0</v>
      </c>
      <c r="AL334" s="698">
        <f t="shared" si="148"/>
        <v>0</v>
      </c>
      <c r="AM334" s="679"/>
      <c r="AN334" s="678"/>
      <c r="AO334" s="679">
        <v>344</v>
      </c>
      <c r="AP334" s="678">
        <v>392</v>
      </c>
      <c r="AQ334" s="679">
        <v>246</v>
      </c>
      <c r="AR334" s="678">
        <v>240</v>
      </c>
      <c r="AS334" s="679">
        <v>291</v>
      </c>
      <c r="AT334" s="678">
        <v>319</v>
      </c>
      <c r="AU334" s="699">
        <f t="shared" si="151"/>
        <v>881</v>
      </c>
      <c r="AV334" s="695">
        <f t="shared" si="133"/>
        <v>36.708333333333336</v>
      </c>
      <c r="AW334" s="696">
        <f t="shared" si="152"/>
        <v>951</v>
      </c>
      <c r="AX334" s="697">
        <f t="shared" si="153"/>
        <v>39.625</v>
      </c>
      <c r="AY334" s="700">
        <f t="shared" si="149"/>
        <v>3007.4083333333333</v>
      </c>
      <c r="AZ334" s="697">
        <f t="shared" si="150"/>
        <v>3239.1916666666666</v>
      </c>
      <c r="BA334" s="703"/>
    </row>
    <row r="335" spans="1:53" s="300" customFormat="1">
      <c r="A335" s="520" t="s">
        <v>532</v>
      </c>
      <c r="B335" s="291" t="s">
        <v>602</v>
      </c>
      <c r="C335" s="521">
        <v>199111</v>
      </c>
      <c r="D335" s="156">
        <v>6</v>
      </c>
      <c r="E335" s="148" t="s">
        <v>393</v>
      </c>
      <c r="F335" s="149" t="s">
        <v>393</v>
      </c>
      <c r="G335" s="679"/>
      <c r="H335" s="678"/>
      <c r="I335" s="679">
        <v>42829</v>
      </c>
      <c r="J335" s="678">
        <v>43880</v>
      </c>
      <c r="K335" s="679">
        <v>3902</v>
      </c>
      <c r="L335" s="678">
        <v>4513</v>
      </c>
      <c r="M335" s="679">
        <v>46290</v>
      </c>
      <c r="N335" s="678">
        <v>49557</v>
      </c>
      <c r="O335" s="694">
        <f t="shared" si="141"/>
        <v>93021</v>
      </c>
      <c r="P335" s="695">
        <f t="shared" ref="P335:P398" si="157">+O335/30</f>
        <v>3100.7</v>
      </c>
      <c r="Q335" s="696">
        <f t="shared" si="142"/>
        <v>97950</v>
      </c>
      <c r="R335" s="697">
        <f t="shared" si="154"/>
        <v>3265</v>
      </c>
      <c r="S335" s="679">
        <v>0</v>
      </c>
      <c r="T335" s="678">
        <v>90</v>
      </c>
      <c r="U335" s="694">
        <f t="shared" si="143"/>
        <v>93021</v>
      </c>
      <c r="V335" s="698">
        <f t="shared" si="144"/>
        <v>97950</v>
      </c>
      <c r="W335" s="679"/>
      <c r="X335" s="678"/>
      <c r="Y335" s="679"/>
      <c r="Z335" s="678"/>
      <c r="AA335" s="679"/>
      <c r="AB335" s="678"/>
      <c r="AC335" s="679"/>
      <c r="AD335" s="678"/>
      <c r="AE335" s="694">
        <f t="shared" si="145"/>
        <v>0</v>
      </c>
      <c r="AF335" s="695">
        <f t="shared" si="155"/>
        <v>0</v>
      </c>
      <c r="AG335" s="696">
        <f t="shared" si="146"/>
        <v>0</v>
      </c>
      <c r="AH335" s="697">
        <f t="shared" si="156"/>
        <v>0</v>
      </c>
      <c r="AI335" s="679"/>
      <c r="AJ335" s="678"/>
      <c r="AK335" s="694">
        <f t="shared" si="147"/>
        <v>0</v>
      </c>
      <c r="AL335" s="698">
        <f t="shared" si="148"/>
        <v>0</v>
      </c>
      <c r="AM335" s="679"/>
      <c r="AN335" s="678"/>
      <c r="AO335" s="679">
        <v>125</v>
      </c>
      <c r="AP335" s="678">
        <v>159</v>
      </c>
      <c r="AQ335" s="679">
        <v>6</v>
      </c>
      <c r="AR335" s="678">
        <v>35</v>
      </c>
      <c r="AS335" s="679">
        <v>159</v>
      </c>
      <c r="AT335" s="678">
        <v>221</v>
      </c>
      <c r="AU335" s="699">
        <f t="shared" si="151"/>
        <v>290</v>
      </c>
      <c r="AV335" s="695">
        <f t="shared" si="133"/>
        <v>12.083333333333334</v>
      </c>
      <c r="AW335" s="696">
        <f t="shared" si="152"/>
        <v>415</v>
      </c>
      <c r="AX335" s="697">
        <f t="shared" si="153"/>
        <v>17.291666666666668</v>
      </c>
      <c r="AY335" s="700">
        <f t="shared" si="149"/>
        <v>3112.7833333333333</v>
      </c>
      <c r="AZ335" s="697">
        <f t="shared" si="150"/>
        <v>3282.2916666666665</v>
      </c>
      <c r="BA335" s="703"/>
    </row>
    <row r="336" spans="1:53" s="300" customFormat="1">
      <c r="A336" s="522" t="s">
        <v>532</v>
      </c>
      <c r="B336" s="523" t="s">
        <v>533</v>
      </c>
      <c r="C336" s="524">
        <v>197887</v>
      </c>
      <c r="D336" s="271">
        <v>8</v>
      </c>
      <c r="E336" s="148" t="s">
        <v>393</v>
      </c>
      <c r="F336" s="525" t="s">
        <v>393</v>
      </c>
      <c r="G336" s="679"/>
      <c r="H336" s="678"/>
      <c r="I336" s="679">
        <v>86010</v>
      </c>
      <c r="J336" s="704">
        <v>89550</v>
      </c>
      <c r="K336" s="679">
        <v>28560</v>
      </c>
      <c r="L336" s="704">
        <v>30960</v>
      </c>
      <c r="M336" s="679">
        <v>93210</v>
      </c>
      <c r="N336" s="704">
        <v>102030</v>
      </c>
      <c r="O336" s="694">
        <f t="shared" si="141"/>
        <v>207780</v>
      </c>
      <c r="P336" s="695">
        <f t="shared" si="157"/>
        <v>6926</v>
      </c>
      <c r="Q336" s="696">
        <f t="shared" si="142"/>
        <v>222540</v>
      </c>
      <c r="R336" s="697">
        <f t="shared" si="154"/>
        <v>7418</v>
      </c>
      <c r="S336" s="705">
        <v>17888.099999999999</v>
      </c>
      <c r="T336" s="704">
        <v>17608.5</v>
      </c>
      <c r="U336" s="694">
        <f t="shared" si="143"/>
        <v>207780</v>
      </c>
      <c r="V336" s="698">
        <f t="shared" si="144"/>
        <v>222540</v>
      </c>
      <c r="W336" s="679"/>
      <c r="X336" s="678"/>
      <c r="Y336" s="679"/>
      <c r="Z336" s="678"/>
      <c r="AA336" s="679"/>
      <c r="AB336" s="678"/>
      <c r="AC336" s="679"/>
      <c r="AD336" s="678"/>
      <c r="AE336" s="694">
        <f t="shared" si="145"/>
        <v>0</v>
      </c>
      <c r="AF336" s="695">
        <f t="shared" si="155"/>
        <v>0</v>
      </c>
      <c r="AG336" s="696">
        <f t="shared" si="146"/>
        <v>0</v>
      </c>
      <c r="AH336" s="697">
        <f t="shared" si="156"/>
        <v>0</v>
      </c>
      <c r="AI336" s="679"/>
      <c r="AJ336" s="678"/>
      <c r="AK336" s="694">
        <f t="shared" si="147"/>
        <v>0</v>
      </c>
      <c r="AL336" s="698">
        <f t="shared" si="148"/>
        <v>0</v>
      </c>
      <c r="AM336" s="679"/>
      <c r="AN336" s="678"/>
      <c r="AO336" s="679"/>
      <c r="AP336" s="678"/>
      <c r="AQ336" s="679"/>
      <c r="AR336" s="678"/>
      <c r="AS336" s="679"/>
      <c r="AT336" s="678"/>
      <c r="AU336" s="699">
        <f t="shared" si="151"/>
        <v>0</v>
      </c>
      <c r="AV336" s="695">
        <f t="shared" si="133"/>
        <v>0</v>
      </c>
      <c r="AW336" s="696">
        <f t="shared" si="152"/>
        <v>0</v>
      </c>
      <c r="AX336" s="697">
        <f t="shared" si="153"/>
        <v>0</v>
      </c>
      <c r="AY336" s="700">
        <f t="shared" si="149"/>
        <v>6926</v>
      </c>
      <c r="AZ336" s="697">
        <f t="shared" si="150"/>
        <v>7418</v>
      </c>
      <c r="BA336" s="703"/>
    </row>
    <row r="337" spans="1:53" s="300" customFormat="1">
      <c r="A337" s="522" t="s">
        <v>532</v>
      </c>
      <c r="B337" s="523" t="s">
        <v>534</v>
      </c>
      <c r="C337" s="524">
        <v>198154</v>
      </c>
      <c r="D337" s="271">
        <v>8</v>
      </c>
      <c r="E337" s="148" t="s">
        <v>393</v>
      </c>
      <c r="F337" s="525" t="s">
        <v>393</v>
      </c>
      <c r="G337" s="679"/>
      <c r="H337" s="678"/>
      <c r="I337" s="679">
        <v>103050</v>
      </c>
      <c r="J337" s="704">
        <v>114720</v>
      </c>
      <c r="K337" s="679">
        <v>27450</v>
      </c>
      <c r="L337" s="704">
        <v>32520</v>
      </c>
      <c r="M337" s="679">
        <v>114660</v>
      </c>
      <c r="N337" s="704">
        <v>131040</v>
      </c>
      <c r="O337" s="694">
        <f t="shared" si="141"/>
        <v>245160</v>
      </c>
      <c r="P337" s="695">
        <f t="shared" si="157"/>
        <v>8172</v>
      </c>
      <c r="Q337" s="696">
        <f t="shared" si="142"/>
        <v>278280</v>
      </c>
      <c r="R337" s="697">
        <f t="shared" si="154"/>
        <v>9276</v>
      </c>
      <c r="S337" s="705">
        <v>6852.3</v>
      </c>
      <c r="T337" s="704">
        <v>7172.7</v>
      </c>
      <c r="U337" s="694">
        <f t="shared" si="143"/>
        <v>245160</v>
      </c>
      <c r="V337" s="698">
        <f t="shared" si="144"/>
        <v>278280</v>
      </c>
      <c r="W337" s="679"/>
      <c r="X337" s="678"/>
      <c r="Y337" s="679"/>
      <c r="Z337" s="678"/>
      <c r="AA337" s="679"/>
      <c r="AB337" s="678"/>
      <c r="AC337" s="679"/>
      <c r="AD337" s="678"/>
      <c r="AE337" s="694">
        <f t="shared" si="145"/>
        <v>0</v>
      </c>
      <c r="AF337" s="695">
        <f t="shared" si="155"/>
        <v>0</v>
      </c>
      <c r="AG337" s="696">
        <f t="shared" si="146"/>
        <v>0</v>
      </c>
      <c r="AH337" s="697">
        <f t="shared" si="156"/>
        <v>0</v>
      </c>
      <c r="AI337" s="679"/>
      <c r="AJ337" s="678"/>
      <c r="AK337" s="694">
        <f t="shared" si="147"/>
        <v>0</v>
      </c>
      <c r="AL337" s="698">
        <f t="shared" si="148"/>
        <v>0</v>
      </c>
      <c r="AM337" s="679"/>
      <c r="AN337" s="678"/>
      <c r="AO337" s="679"/>
      <c r="AP337" s="678"/>
      <c r="AQ337" s="679"/>
      <c r="AR337" s="678"/>
      <c r="AS337" s="679"/>
      <c r="AT337" s="678"/>
      <c r="AU337" s="699">
        <f t="shared" si="151"/>
        <v>0</v>
      </c>
      <c r="AV337" s="695">
        <f t="shared" si="133"/>
        <v>0</v>
      </c>
      <c r="AW337" s="696">
        <f t="shared" si="152"/>
        <v>0</v>
      </c>
      <c r="AX337" s="697">
        <f t="shared" si="153"/>
        <v>0</v>
      </c>
      <c r="AY337" s="700">
        <f t="shared" si="149"/>
        <v>8172</v>
      </c>
      <c r="AZ337" s="697">
        <f t="shared" si="150"/>
        <v>9276</v>
      </c>
      <c r="BA337" s="703"/>
    </row>
    <row r="338" spans="1:53" s="300" customFormat="1">
      <c r="A338" s="522" t="s">
        <v>532</v>
      </c>
      <c r="B338" s="523" t="s">
        <v>535</v>
      </c>
      <c r="C338" s="524">
        <v>198233</v>
      </c>
      <c r="D338" s="271">
        <v>8</v>
      </c>
      <c r="E338" s="148" t="s">
        <v>393</v>
      </c>
      <c r="F338" s="525" t="s">
        <v>393</v>
      </c>
      <c r="G338" s="679"/>
      <c r="H338" s="678"/>
      <c r="I338" s="679">
        <v>65550</v>
      </c>
      <c r="J338" s="704">
        <v>68340</v>
      </c>
      <c r="K338" s="679">
        <v>25620</v>
      </c>
      <c r="L338" s="704">
        <v>27150</v>
      </c>
      <c r="M338" s="679">
        <v>68910</v>
      </c>
      <c r="N338" s="704">
        <v>79140</v>
      </c>
      <c r="O338" s="694">
        <f t="shared" si="141"/>
        <v>160080</v>
      </c>
      <c r="P338" s="695">
        <f t="shared" si="157"/>
        <v>5336</v>
      </c>
      <c r="Q338" s="696">
        <f t="shared" si="142"/>
        <v>174630</v>
      </c>
      <c r="R338" s="697">
        <f t="shared" si="154"/>
        <v>5821</v>
      </c>
      <c r="S338" s="705">
        <v>8585.4</v>
      </c>
      <c r="T338" s="704">
        <v>9973.7999999999993</v>
      </c>
      <c r="U338" s="694">
        <f t="shared" si="143"/>
        <v>160080</v>
      </c>
      <c r="V338" s="698">
        <f t="shared" si="144"/>
        <v>174630</v>
      </c>
      <c r="W338" s="679"/>
      <c r="X338" s="678"/>
      <c r="Y338" s="679"/>
      <c r="Z338" s="678"/>
      <c r="AA338" s="679"/>
      <c r="AB338" s="678"/>
      <c r="AC338" s="679"/>
      <c r="AD338" s="678"/>
      <c r="AE338" s="694">
        <f t="shared" si="145"/>
        <v>0</v>
      </c>
      <c r="AF338" s="695">
        <f t="shared" si="155"/>
        <v>0</v>
      </c>
      <c r="AG338" s="696">
        <f t="shared" si="146"/>
        <v>0</v>
      </c>
      <c r="AH338" s="697">
        <f t="shared" si="156"/>
        <v>0</v>
      </c>
      <c r="AI338" s="679"/>
      <c r="AJ338" s="678"/>
      <c r="AK338" s="694">
        <f t="shared" si="147"/>
        <v>0</v>
      </c>
      <c r="AL338" s="698">
        <f t="shared" si="148"/>
        <v>0</v>
      </c>
      <c r="AM338" s="679"/>
      <c r="AN338" s="678"/>
      <c r="AO338" s="679"/>
      <c r="AP338" s="678"/>
      <c r="AQ338" s="679"/>
      <c r="AR338" s="678"/>
      <c r="AS338" s="679"/>
      <c r="AT338" s="678"/>
      <c r="AU338" s="699">
        <f t="shared" si="151"/>
        <v>0</v>
      </c>
      <c r="AV338" s="695">
        <f t="shared" si="133"/>
        <v>0</v>
      </c>
      <c r="AW338" s="696">
        <f t="shared" si="152"/>
        <v>0</v>
      </c>
      <c r="AX338" s="697">
        <f t="shared" si="153"/>
        <v>0</v>
      </c>
      <c r="AY338" s="700">
        <f t="shared" si="149"/>
        <v>5336</v>
      </c>
      <c r="AZ338" s="697">
        <f t="shared" si="150"/>
        <v>5821</v>
      </c>
      <c r="BA338" s="703"/>
    </row>
    <row r="339" spans="1:53" s="300" customFormat="1">
      <c r="A339" s="522" t="s">
        <v>532</v>
      </c>
      <c r="B339" s="523" t="s">
        <v>536</v>
      </c>
      <c r="C339" s="524">
        <v>198251</v>
      </c>
      <c r="D339" s="271">
        <v>8</v>
      </c>
      <c r="E339" s="148" t="s">
        <v>393</v>
      </c>
      <c r="F339" s="525" t="s">
        <v>393</v>
      </c>
      <c r="G339" s="679"/>
      <c r="H339" s="678"/>
      <c r="I339" s="679">
        <v>68550</v>
      </c>
      <c r="J339" s="704">
        <v>74250</v>
      </c>
      <c r="K339" s="679">
        <v>23610</v>
      </c>
      <c r="L339" s="704">
        <v>25110</v>
      </c>
      <c r="M339" s="679">
        <v>77370</v>
      </c>
      <c r="N339" s="704">
        <v>88380</v>
      </c>
      <c r="O339" s="694">
        <f t="shared" si="141"/>
        <v>169530</v>
      </c>
      <c r="P339" s="695">
        <f t="shared" si="157"/>
        <v>5651</v>
      </c>
      <c r="Q339" s="696">
        <f t="shared" si="142"/>
        <v>187740</v>
      </c>
      <c r="R339" s="697">
        <f t="shared" si="154"/>
        <v>6258</v>
      </c>
      <c r="S339" s="705">
        <v>9146.4</v>
      </c>
      <c r="T339" s="704">
        <v>9861.6</v>
      </c>
      <c r="U339" s="694">
        <f t="shared" si="143"/>
        <v>169530</v>
      </c>
      <c r="V339" s="698">
        <f t="shared" si="144"/>
        <v>187740</v>
      </c>
      <c r="W339" s="679"/>
      <c r="X339" s="678"/>
      <c r="Y339" s="679"/>
      <c r="Z339" s="678"/>
      <c r="AA339" s="679"/>
      <c r="AB339" s="678"/>
      <c r="AC339" s="679"/>
      <c r="AD339" s="678"/>
      <c r="AE339" s="694">
        <f t="shared" si="145"/>
        <v>0</v>
      </c>
      <c r="AF339" s="695">
        <f t="shared" si="155"/>
        <v>0</v>
      </c>
      <c r="AG339" s="696">
        <f t="shared" si="146"/>
        <v>0</v>
      </c>
      <c r="AH339" s="697">
        <f t="shared" si="156"/>
        <v>0</v>
      </c>
      <c r="AI339" s="679"/>
      <c r="AJ339" s="678"/>
      <c r="AK339" s="694">
        <f t="shared" si="147"/>
        <v>0</v>
      </c>
      <c r="AL339" s="698">
        <f t="shared" si="148"/>
        <v>0</v>
      </c>
      <c r="AM339" s="679"/>
      <c r="AN339" s="678"/>
      <c r="AO339" s="679"/>
      <c r="AP339" s="678"/>
      <c r="AQ339" s="679"/>
      <c r="AR339" s="678"/>
      <c r="AS339" s="679"/>
      <c r="AT339" s="678"/>
      <c r="AU339" s="699">
        <f t="shared" si="151"/>
        <v>0</v>
      </c>
      <c r="AV339" s="695">
        <f t="shared" si="133"/>
        <v>0</v>
      </c>
      <c r="AW339" s="696">
        <f t="shared" si="152"/>
        <v>0</v>
      </c>
      <c r="AX339" s="697">
        <f t="shared" si="153"/>
        <v>0</v>
      </c>
      <c r="AY339" s="700">
        <f t="shared" si="149"/>
        <v>5651</v>
      </c>
      <c r="AZ339" s="697">
        <f t="shared" si="150"/>
        <v>6258</v>
      </c>
      <c r="BA339" s="703"/>
    </row>
    <row r="340" spans="1:53" s="300" customFormat="1">
      <c r="A340" s="522" t="s">
        <v>532</v>
      </c>
      <c r="B340" s="523" t="s">
        <v>537</v>
      </c>
      <c r="C340" s="524">
        <v>198260</v>
      </c>
      <c r="D340" s="271">
        <v>8</v>
      </c>
      <c r="E340" s="148" t="s">
        <v>393</v>
      </c>
      <c r="F340" s="525" t="s">
        <v>393</v>
      </c>
      <c r="G340" s="679"/>
      <c r="H340" s="678"/>
      <c r="I340" s="679">
        <v>206700</v>
      </c>
      <c r="J340" s="704">
        <v>225150</v>
      </c>
      <c r="K340" s="679">
        <v>57900</v>
      </c>
      <c r="L340" s="704">
        <v>70050</v>
      </c>
      <c r="M340" s="679">
        <v>223560</v>
      </c>
      <c r="N340" s="704">
        <v>241590</v>
      </c>
      <c r="O340" s="694">
        <f t="shared" si="141"/>
        <v>488160</v>
      </c>
      <c r="P340" s="695">
        <f t="shared" si="157"/>
        <v>16272</v>
      </c>
      <c r="Q340" s="696">
        <f t="shared" si="142"/>
        <v>536790</v>
      </c>
      <c r="R340" s="697">
        <f t="shared" si="154"/>
        <v>17893</v>
      </c>
      <c r="S340" s="705">
        <v>10854.6</v>
      </c>
      <c r="T340" s="704">
        <v>9685.5</v>
      </c>
      <c r="U340" s="694">
        <f t="shared" si="143"/>
        <v>488160</v>
      </c>
      <c r="V340" s="698">
        <f t="shared" si="144"/>
        <v>536790</v>
      </c>
      <c r="W340" s="679"/>
      <c r="X340" s="678"/>
      <c r="Y340" s="679"/>
      <c r="Z340" s="678"/>
      <c r="AA340" s="679"/>
      <c r="AB340" s="678"/>
      <c r="AC340" s="679"/>
      <c r="AD340" s="678"/>
      <c r="AE340" s="694">
        <f t="shared" si="145"/>
        <v>0</v>
      </c>
      <c r="AF340" s="695">
        <f t="shared" si="155"/>
        <v>0</v>
      </c>
      <c r="AG340" s="696">
        <f t="shared" si="146"/>
        <v>0</v>
      </c>
      <c r="AH340" s="697">
        <f t="shared" si="156"/>
        <v>0</v>
      </c>
      <c r="AI340" s="679"/>
      <c r="AJ340" s="678"/>
      <c r="AK340" s="694">
        <f t="shared" si="147"/>
        <v>0</v>
      </c>
      <c r="AL340" s="698">
        <f t="shared" si="148"/>
        <v>0</v>
      </c>
      <c r="AM340" s="679"/>
      <c r="AN340" s="678"/>
      <c r="AO340" s="679"/>
      <c r="AP340" s="678"/>
      <c r="AQ340" s="679"/>
      <c r="AR340" s="678"/>
      <c r="AS340" s="679"/>
      <c r="AT340" s="678"/>
      <c r="AU340" s="699">
        <f t="shared" si="151"/>
        <v>0</v>
      </c>
      <c r="AV340" s="695">
        <f t="shared" si="133"/>
        <v>0</v>
      </c>
      <c r="AW340" s="696">
        <f t="shared" si="152"/>
        <v>0</v>
      </c>
      <c r="AX340" s="697">
        <f t="shared" si="153"/>
        <v>0</v>
      </c>
      <c r="AY340" s="700">
        <f t="shared" si="149"/>
        <v>16272</v>
      </c>
      <c r="AZ340" s="697">
        <f t="shared" si="150"/>
        <v>17893</v>
      </c>
      <c r="BA340" s="703"/>
    </row>
    <row r="341" spans="1:53">
      <c r="A341" s="526" t="s">
        <v>532</v>
      </c>
      <c r="B341" s="527" t="s">
        <v>551</v>
      </c>
      <c r="C341" s="292">
        <v>198455</v>
      </c>
      <c r="D341" s="96">
        <v>8</v>
      </c>
      <c r="E341" s="148" t="s">
        <v>393</v>
      </c>
      <c r="F341" s="525" t="s">
        <v>393</v>
      </c>
      <c r="G341" s="679"/>
      <c r="H341" s="678"/>
      <c r="I341" s="679">
        <v>61440</v>
      </c>
      <c r="J341" s="704">
        <v>69780</v>
      </c>
      <c r="K341" s="679">
        <v>25140</v>
      </c>
      <c r="L341" s="704">
        <v>22080</v>
      </c>
      <c r="M341" s="679">
        <v>67980</v>
      </c>
      <c r="N341" s="704">
        <v>73320</v>
      </c>
      <c r="O341" s="694">
        <f t="shared" si="141"/>
        <v>154560</v>
      </c>
      <c r="P341" s="695">
        <f t="shared" si="157"/>
        <v>5152</v>
      </c>
      <c r="Q341" s="696">
        <f t="shared" si="142"/>
        <v>165180</v>
      </c>
      <c r="R341" s="697">
        <f t="shared" si="154"/>
        <v>5506</v>
      </c>
      <c r="S341" s="705">
        <v>3567.2999999999997</v>
      </c>
      <c r="T341" s="704">
        <v>3501.2999999999997</v>
      </c>
      <c r="U341" s="694">
        <f t="shared" si="143"/>
        <v>154560</v>
      </c>
      <c r="V341" s="698">
        <f t="shared" si="144"/>
        <v>165180</v>
      </c>
      <c r="W341" s="679"/>
      <c r="X341" s="678"/>
      <c r="Y341" s="679"/>
      <c r="Z341" s="678"/>
      <c r="AA341" s="679"/>
      <c r="AB341" s="678"/>
      <c r="AC341" s="679"/>
      <c r="AD341" s="678"/>
      <c r="AE341" s="694">
        <f t="shared" si="145"/>
        <v>0</v>
      </c>
      <c r="AF341" s="695">
        <f t="shared" si="155"/>
        <v>0</v>
      </c>
      <c r="AG341" s="696">
        <f t="shared" si="146"/>
        <v>0</v>
      </c>
      <c r="AH341" s="697">
        <f t="shared" si="156"/>
        <v>0</v>
      </c>
      <c r="AI341" s="679"/>
      <c r="AJ341" s="678"/>
      <c r="AK341" s="694">
        <f t="shared" si="147"/>
        <v>0</v>
      </c>
      <c r="AL341" s="698">
        <f t="shared" si="148"/>
        <v>0</v>
      </c>
      <c r="AM341" s="679"/>
      <c r="AN341" s="678"/>
      <c r="AO341" s="679"/>
      <c r="AP341" s="678"/>
      <c r="AQ341" s="679"/>
      <c r="AR341" s="678"/>
      <c r="AS341" s="679"/>
      <c r="AT341" s="678"/>
      <c r="AU341" s="699">
        <f t="shared" si="151"/>
        <v>0</v>
      </c>
      <c r="AV341" s="695">
        <f t="shared" si="133"/>
        <v>0</v>
      </c>
      <c r="AW341" s="696">
        <f t="shared" si="152"/>
        <v>0</v>
      </c>
      <c r="AX341" s="697">
        <f t="shared" si="153"/>
        <v>0</v>
      </c>
      <c r="AY341" s="700">
        <f t="shared" si="149"/>
        <v>5152</v>
      </c>
      <c r="AZ341" s="697">
        <f t="shared" si="150"/>
        <v>5506</v>
      </c>
      <c r="BA341" s="680"/>
    </row>
    <row r="342" spans="1:53">
      <c r="A342" s="522" t="s">
        <v>532</v>
      </c>
      <c r="B342" s="523" t="s">
        <v>538</v>
      </c>
      <c r="C342" s="524">
        <v>198534</v>
      </c>
      <c r="D342" s="271">
        <v>8</v>
      </c>
      <c r="E342" s="148" t="s">
        <v>393</v>
      </c>
      <c r="F342" s="525" t="s">
        <v>393</v>
      </c>
      <c r="G342" s="679"/>
      <c r="H342" s="678"/>
      <c r="I342" s="679">
        <v>142590</v>
      </c>
      <c r="J342" s="704">
        <v>161700</v>
      </c>
      <c r="K342" s="679">
        <v>51810</v>
      </c>
      <c r="L342" s="704">
        <v>51630</v>
      </c>
      <c r="M342" s="679">
        <v>156180</v>
      </c>
      <c r="N342" s="704">
        <v>166290</v>
      </c>
      <c r="O342" s="694">
        <f t="shared" si="141"/>
        <v>350580</v>
      </c>
      <c r="P342" s="695">
        <f t="shared" si="157"/>
        <v>11686</v>
      </c>
      <c r="Q342" s="696">
        <f t="shared" si="142"/>
        <v>379620</v>
      </c>
      <c r="R342" s="697">
        <f t="shared" si="154"/>
        <v>12654</v>
      </c>
      <c r="S342" s="705">
        <v>8658.9</v>
      </c>
      <c r="T342" s="704">
        <v>8419.8000000000011</v>
      </c>
      <c r="U342" s="694">
        <f t="shared" si="143"/>
        <v>350580</v>
      </c>
      <c r="V342" s="698">
        <f t="shared" si="144"/>
        <v>379620</v>
      </c>
      <c r="W342" s="679"/>
      <c r="X342" s="678"/>
      <c r="Y342" s="679"/>
      <c r="Z342" s="678"/>
      <c r="AA342" s="679"/>
      <c r="AB342" s="678"/>
      <c r="AC342" s="679"/>
      <c r="AD342" s="678"/>
      <c r="AE342" s="694">
        <f t="shared" si="145"/>
        <v>0</v>
      </c>
      <c r="AF342" s="695">
        <f t="shared" si="155"/>
        <v>0</v>
      </c>
      <c r="AG342" s="696">
        <f t="shared" si="146"/>
        <v>0</v>
      </c>
      <c r="AH342" s="697">
        <f t="shared" si="156"/>
        <v>0</v>
      </c>
      <c r="AI342" s="679"/>
      <c r="AJ342" s="678"/>
      <c r="AK342" s="694">
        <f t="shared" si="147"/>
        <v>0</v>
      </c>
      <c r="AL342" s="698">
        <f t="shared" si="148"/>
        <v>0</v>
      </c>
      <c r="AM342" s="679"/>
      <c r="AN342" s="678"/>
      <c r="AO342" s="679"/>
      <c r="AP342" s="678"/>
      <c r="AQ342" s="679"/>
      <c r="AR342" s="678"/>
      <c r="AS342" s="679"/>
      <c r="AT342" s="678"/>
      <c r="AU342" s="699">
        <f t="shared" si="151"/>
        <v>0</v>
      </c>
      <c r="AV342" s="695">
        <f t="shared" si="133"/>
        <v>0</v>
      </c>
      <c r="AW342" s="696">
        <f t="shared" si="152"/>
        <v>0</v>
      </c>
      <c r="AX342" s="697">
        <f t="shared" si="153"/>
        <v>0</v>
      </c>
      <c r="AY342" s="700">
        <f t="shared" si="149"/>
        <v>11686</v>
      </c>
      <c r="AZ342" s="697">
        <f t="shared" si="150"/>
        <v>12654</v>
      </c>
      <c r="BA342" s="680"/>
    </row>
    <row r="343" spans="1:53">
      <c r="A343" s="522" t="s">
        <v>532</v>
      </c>
      <c r="B343" s="523" t="s">
        <v>539</v>
      </c>
      <c r="C343" s="524">
        <v>198552</v>
      </c>
      <c r="D343" s="271">
        <v>8</v>
      </c>
      <c r="E343" s="148" t="s">
        <v>393</v>
      </c>
      <c r="F343" s="525" t="s">
        <v>393</v>
      </c>
      <c r="G343" s="679"/>
      <c r="H343" s="678"/>
      <c r="I343" s="679">
        <v>95460</v>
      </c>
      <c r="J343" s="704">
        <v>109710</v>
      </c>
      <c r="K343" s="679">
        <v>35550</v>
      </c>
      <c r="L343" s="704">
        <v>40890</v>
      </c>
      <c r="M343" s="679">
        <v>108150</v>
      </c>
      <c r="N343" s="704">
        <v>124200</v>
      </c>
      <c r="O343" s="694">
        <f t="shared" si="141"/>
        <v>239160</v>
      </c>
      <c r="P343" s="695">
        <f t="shared" si="157"/>
        <v>7972</v>
      </c>
      <c r="Q343" s="696">
        <f t="shared" si="142"/>
        <v>274800</v>
      </c>
      <c r="R343" s="697">
        <f t="shared" si="154"/>
        <v>9160</v>
      </c>
      <c r="S343" s="705">
        <v>4021.5000000000005</v>
      </c>
      <c r="T343" s="704">
        <v>5413.5</v>
      </c>
      <c r="U343" s="694">
        <f t="shared" si="143"/>
        <v>239160</v>
      </c>
      <c r="V343" s="698">
        <f t="shared" si="144"/>
        <v>274800</v>
      </c>
      <c r="W343" s="679"/>
      <c r="X343" s="678"/>
      <c r="Y343" s="679"/>
      <c r="Z343" s="678"/>
      <c r="AA343" s="679"/>
      <c r="AB343" s="678"/>
      <c r="AC343" s="679"/>
      <c r="AD343" s="678"/>
      <c r="AE343" s="694">
        <f t="shared" si="145"/>
        <v>0</v>
      </c>
      <c r="AF343" s="695">
        <f t="shared" si="155"/>
        <v>0</v>
      </c>
      <c r="AG343" s="696">
        <f t="shared" si="146"/>
        <v>0</v>
      </c>
      <c r="AH343" s="697">
        <f t="shared" si="156"/>
        <v>0</v>
      </c>
      <c r="AI343" s="679"/>
      <c r="AJ343" s="678"/>
      <c r="AK343" s="694">
        <f t="shared" si="147"/>
        <v>0</v>
      </c>
      <c r="AL343" s="698">
        <f t="shared" si="148"/>
        <v>0</v>
      </c>
      <c r="AM343" s="679"/>
      <c r="AN343" s="678"/>
      <c r="AO343" s="679"/>
      <c r="AP343" s="678"/>
      <c r="AQ343" s="679"/>
      <c r="AR343" s="678"/>
      <c r="AS343" s="679"/>
      <c r="AT343" s="678"/>
      <c r="AU343" s="699">
        <f t="shared" si="151"/>
        <v>0</v>
      </c>
      <c r="AV343" s="695">
        <f t="shared" si="133"/>
        <v>0</v>
      </c>
      <c r="AW343" s="696">
        <f t="shared" si="152"/>
        <v>0</v>
      </c>
      <c r="AX343" s="697">
        <f t="shared" si="153"/>
        <v>0</v>
      </c>
      <c r="AY343" s="700">
        <f t="shared" si="149"/>
        <v>7972</v>
      </c>
      <c r="AZ343" s="697">
        <f t="shared" si="150"/>
        <v>9160</v>
      </c>
      <c r="BA343" s="680"/>
    </row>
    <row r="344" spans="1:53">
      <c r="A344" s="522" t="s">
        <v>532</v>
      </c>
      <c r="B344" s="523" t="s">
        <v>540</v>
      </c>
      <c r="C344" s="524">
        <v>198622</v>
      </c>
      <c r="D344" s="271">
        <v>8</v>
      </c>
      <c r="E344" s="148" t="s">
        <v>393</v>
      </c>
      <c r="F344" s="525" t="s">
        <v>393</v>
      </c>
      <c r="G344" s="679"/>
      <c r="H344" s="678"/>
      <c r="I344" s="679">
        <v>136500</v>
      </c>
      <c r="J344" s="704">
        <v>159450</v>
      </c>
      <c r="K344" s="679">
        <v>39330</v>
      </c>
      <c r="L344" s="704">
        <v>47670</v>
      </c>
      <c r="M344" s="679">
        <v>161400</v>
      </c>
      <c r="N344" s="704">
        <v>191430</v>
      </c>
      <c r="O344" s="694">
        <f t="shared" si="141"/>
        <v>337230</v>
      </c>
      <c r="P344" s="695">
        <f t="shared" si="157"/>
        <v>11241</v>
      </c>
      <c r="Q344" s="696">
        <f t="shared" si="142"/>
        <v>398550</v>
      </c>
      <c r="R344" s="697">
        <f t="shared" si="154"/>
        <v>13285</v>
      </c>
      <c r="S344" s="705">
        <v>2956.2000000000003</v>
      </c>
      <c r="T344" s="704">
        <v>3940.8</v>
      </c>
      <c r="U344" s="694">
        <f t="shared" si="143"/>
        <v>337230</v>
      </c>
      <c r="V344" s="698">
        <f t="shared" si="144"/>
        <v>398550</v>
      </c>
      <c r="W344" s="679"/>
      <c r="X344" s="678"/>
      <c r="Y344" s="679"/>
      <c r="Z344" s="678"/>
      <c r="AA344" s="679"/>
      <c r="AB344" s="678"/>
      <c r="AC344" s="679"/>
      <c r="AD344" s="678"/>
      <c r="AE344" s="694">
        <f t="shared" si="145"/>
        <v>0</v>
      </c>
      <c r="AF344" s="695">
        <f t="shared" si="155"/>
        <v>0</v>
      </c>
      <c r="AG344" s="696">
        <f t="shared" si="146"/>
        <v>0</v>
      </c>
      <c r="AH344" s="697">
        <f t="shared" si="156"/>
        <v>0</v>
      </c>
      <c r="AI344" s="679"/>
      <c r="AJ344" s="678"/>
      <c r="AK344" s="694">
        <f t="shared" si="147"/>
        <v>0</v>
      </c>
      <c r="AL344" s="698">
        <f t="shared" si="148"/>
        <v>0</v>
      </c>
      <c r="AM344" s="679"/>
      <c r="AN344" s="678"/>
      <c r="AO344" s="679"/>
      <c r="AP344" s="678"/>
      <c r="AQ344" s="679"/>
      <c r="AR344" s="678"/>
      <c r="AS344" s="679"/>
      <c r="AT344" s="678"/>
      <c r="AU344" s="699">
        <f t="shared" si="151"/>
        <v>0</v>
      </c>
      <c r="AV344" s="695">
        <f t="shared" si="133"/>
        <v>0</v>
      </c>
      <c r="AW344" s="696">
        <f t="shared" si="152"/>
        <v>0</v>
      </c>
      <c r="AX344" s="697">
        <f t="shared" si="153"/>
        <v>0</v>
      </c>
      <c r="AY344" s="700">
        <f t="shared" si="149"/>
        <v>11241</v>
      </c>
      <c r="AZ344" s="697">
        <f t="shared" si="150"/>
        <v>13285</v>
      </c>
      <c r="BA344" s="680"/>
    </row>
    <row r="345" spans="1:53">
      <c r="A345" s="522" t="s">
        <v>532</v>
      </c>
      <c r="B345" s="523" t="s">
        <v>541</v>
      </c>
      <c r="C345" s="524">
        <v>199333</v>
      </c>
      <c r="D345" s="271">
        <v>8</v>
      </c>
      <c r="E345" s="148" t="s">
        <v>393</v>
      </c>
      <c r="F345" s="525" t="s">
        <v>393</v>
      </c>
      <c r="G345" s="679"/>
      <c r="H345" s="678"/>
      <c r="I345" s="679">
        <v>86280</v>
      </c>
      <c r="J345" s="704">
        <v>94350</v>
      </c>
      <c r="K345" s="679">
        <v>27330</v>
      </c>
      <c r="L345" s="704">
        <v>33000</v>
      </c>
      <c r="M345" s="679">
        <v>92940</v>
      </c>
      <c r="N345" s="704">
        <v>104100</v>
      </c>
      <c r="O345" s="694">
        <f t="shared" si="141"/>
        <v>206550</v>
      </c>
      <c r="P345" s="695">
        <f t="shared" si="157"/>
        <v>6885</v>
      </c>
      <c r="Q345" s="696">
        <f t="shared" si="142"/>
        <v>231450</v>
      </c>
      <c r="R345" s="697">
        <f t="shared" si="154"/>
        <v>7715</v>
      </c>
      <c r="S345" s="705">
        <v>5159.3999999999996</v>
      </c>
      <c r="T345" s="704">
        <v>6342.9000000000005</v>
      </c>
      <c r="U345" s="694">
        <f t="shared" si="143"/>
        <v>206550</v>
      </c>
      <c r="V345" s="698">
        <f t="shared" si="144"/>
        <v>231450</v>
      </c>
      <c r="W345" s="679"/>
      <c r="X345" s="678"/>
      <c r="Y345" s="679"/>
      <c r="Z345" s="678"/>
      <c r="AA345" s="679"/>
      <c r="AB345" s="678"/>
      <c r="AC345" s="679"/>
      <c r="AD345" s="678"/>
      <c r="AE345" s="694">
        <f t="shared" si="145"/>
        <v>0</v>
      </c>
      <c r="AF345" s="695">
        <f t="shared" si="155"/>
        <v>0</v>
      </c>
      <c r="AG345" s="696">
        <f t="shared" si="146"/>
        <v>0</v>
      </c>
      <c r="AH345" s="697">
        <f t="shared" si="156"/>
        <v>0</v>
      </c>
      <c r="AI345" s="679"/>
      <c r="AJ345" s="678"/>
      <c r="AK345" s="694">
        <f t="shared" si="147"/>
        <v>0</v>
      </c>
      <c r="AL345" s="698">
        <f t="shared" si="148"/>
        <v>0</v>
      </c>
      <c r="AM345" s="679"/>
      <c r="AN345" s="678"/>
      <c r="AO345" s="679"/>
      <c r="AP345" s="678"/>
      <c r="AQ345" s="679"/>
      <c r="AR345" s="678"/>
      <c r="AS345" s="679"/>
      <c r="AT345" s="678"/>
      <c r="AU345" s="699">
        <f t="shared" si="151"/>
        <v>0</v>
      </c>
      <c r="AV345" s="695">
        <f t="shared" si="133"/>
        <v>0</v>
      </c>
      <c r="AW345" s="696">
        <f t="shared" si="152"/>
        <v>0</v>
      </c>
      <c r="AX345" s="697">
        <f t="shared" si="153"/>
        <v>0</v>
      </c>
      <c r="AY345" s="700">
        <f t="shared" si="149"/>
        <v>6885</v>
      </c>
      <c r="AZ345" s="697">
        <f t="shared" si="150"/>
        <v>7715</v>
      </c>
      <c r="BA345" s="680"/>
    </row>
    <row r="346" spans="1:53">
      <c r="A346" s="526" t="s">
        <v>532</v>
      </c>
      <c r="B346" s="528" t="s">
        <v>565</v>
      </c>
      <c r="C346" s="292">
        <v>199494</v>
      </c>
      <c r="D346" s="96">
        <v>8</v>
      </c>
      <c r="E346" s="148" t="s">
        <v>393</v>
      </c>
      <c r="F346" s="525" t="s">
        <v>393</v>
      </c>
      <c r="G346" s="679"/>
      <c r="H346" s="678"/>
      <c r="I346" s="679">
        <v>70020</v>
      </c>
      <c r="J346" s="704">
        <v>84330</v>
      </c>
      <c r="K346" s="679">
        <v>22560</v>
      </c>
      <c r="L346" s="704">
        <v>33180</v>
      </c>
      <c r="M346" s="679">
        <v>81900</v>
      </c>
      <c r="N346" s="704">
        <v>102630</v>
      </c>
      <c r="O346" s="694">
        <f t="shared" si="141"/>
        <v>174480</v>
      </c>
      <c r="P346" s="695">
        <f t="shared" si="157"/>
        <v>5816</v>
      </c>
      <c r="Q346" s="696">
        <f t="shared" si="142"/>
        <v>220140</v>
      </c>
      <c r="R346" s="697">
        <f t="shared" si="154"/>
        <v>7338</v>
      </c>
      <c r="S346" s="705">
        <v>5355.2999999999993</v>
      </c>
      <c r="T346" s="704">
        <v>5910</v>
      </c>
      <c r="U346" s="694">
        <f t="shared" si="143"/>
        <v>174480</v>
      </c>
      <c r="V346" s="698">
        <f t="shared" si="144"/>
        <v>220140</v>
      </c>
      <c r="W346" s="679"/>
      <c r="X346" s="678"/>
      <c r="Y346" s="679"/>
      <c r="Z346" s="678"/>
      <c r="AA346" s="679"/>
      <c r="AB346" s="678"/>
      <c r="AC346" s="679"/>
      <c r="AD346" s="678"/>
      <c r="AE346" s="694">
        <f t="shared" si="145"/>
        <v>0</v>
      </c>
      <c r="AF346" s="695">
        <f t="shared" si="155"/>
        <v>0</v>
      </c>
      <c r="AG346" s="696">
        <f t="shared" si="146"/>
        <v>0</v>
      </c>
      <c r="AH346" s="697">
        <f t="shared" si="156"/>
        <v>0</v>
      </c>
      <c r="AI346" s="679"/>
      <c r="AJ346" s="678"/>
      <c r="AK346" s="694">
        <f t="shared" si="147"/>
        <v>0</v>
      </c>
      <c r="AL346" s="698">
        <f t="shared" si="148"/>
        <v>0</v>
      </c>
      <c r="AM346" s="679"/>
      <c r="AN346" s="678"/>
      <c r="AO346" s="679"/>
      <c r="AP346" s="678"/>
      <c r="AQ346" s="679"/>
      <c r="AR346" s="678"/>
      <c r="AS346" s="679"/>
      <c r="AT346" s="678"/>
      <c r="AU346" s="699">
        <f t="shared" si="151"/>
        <v>0</v>
      </c>
      <c r="AV346" s="695">
        <f t="shared" si="133"/>
        <v>0</v>
      </c>
      <c r="AW346" s="696">
        <f t="shared" si="152"/>
        <v>0</v>
      </c>
      <c r="AX346" s="697">
        <f t="shared" si="153"/>
        <v>0</v>
      </c>
      <c r="AY346" s="700">
        <f t="shared" si="149"/>
        <v>5816</v>
      </c>
      <c r="AZ346" s="697">
        <f t="shared" si="150"/>
        <v>7338</v>
      </c>
      <c r="BA346" s="680"/>
    </row>
    <row r="347" spans="1:53">
      <c r="A347" s="522" t="s">
        <v>532</v>
      </c>
      <c r="B347" s="523" t="s">
        <v>542</v>
      </c>
      <c r="C347" s="524">
        <v>199856</v>
      </c>
      <c r="D347" s="271">
        <v>8</v>
      </c>
      <c r="E347" s="148" t="s">
        <v>393</v>
      </c>
      <c r="F347" s="525" t="s">
        <v>393</v>
      </c>
      <c r="G347" s="679"/>
      <c r="H347" s="678"/>
      <c r="I347" s="679">
        <v>172110</v>
      </c>
      <c r="J347" s="704">
        <v>191130</v>
      </c>
      <c r="K347" s="679">
        <v>60240</v>
      </c>
      <c r="L347" s="704">
        <v>61230</v>
      </c>
      <c r="M347" s="679">
        <v>197040</v>
      </c>
      <c r="N347" s="704">
        <v>208620</v>
      </c>
      <c r="O347" s="694">
        <f t="shared" si="141"/>
        <v>429390</v>
      </c>
      <c r="P347" s="695">
        <f t="shared" si="157"/>
        <v>14313</v>
      </c>
      <c r="Q347" s="696">
        <f t="shared" si="142"/>
        <v>460980</v>
      </c>
      <c r="R347" s="697">
        <f t="shared" si="154"/>
        <v>15366</v>
      </c>
      <c r="S347" s="705">
        <v>5808.9</v>
      </c>
      <c r="T347" s="704">
        <v>5835.9</v>
      </c>
      <c r="U347" s="694">
        <f t="shared" si="143"/>
        <v>429390</v>
      </c>
      <c r="V347" s="698">
        <f t="shared" si="144"/>
        <v>460980</v>
      </c>
      <c r="W347" s="679"/>
      <c r="X347" s="678"/>
      <c r="Y347" s="679"/>
      <c r="Z347" s="678"/>
      <c r="AA347" s="679"/>
      <c r="AB347" s="678"/>
      <c r="AC347" s="679"/>
      <c r="AD347" s="678"/>
      <c r="AE347" s="694">
        <f t="shared" si="145"/>
        <v>0</v>
      </c>
      <c r="AF347" s="695">
        <f t="shared" si="155"/>
        <v>0</v>
      </c>
      <c r="AG347" s="696">
        <f t="shared" si="146"/>
        <v>0</v>
      </c>
      <c r="AH347" s="697">
        <f t="shared" si="156"/>
        <v>0</v>
      </c>
      <c r="AI347" s="679"/>
      <c r="AJ347" s="678"/>
      <c r="AK347" s="694">
        <f t="shared" si="147"/>
        <v>0</v>
      </c>
      <c r="AL347" s="698">
        <f t="shared" si="148"/>
        <v>0</v>
      </c>
      <c r="AM347" s="679"/>
      <c r="AN347" s="678"/>
      <c r="AO347" s="679"/>
      <c r="AP347" s="678"/>
      <c r="AQ347" s="679"/>
      <c r="AR347" s="678"/>
      <c r="AS347" s="679"/>
      <c r="AT347" s="678"/>
      <c r="AU347" s="699">
        <f t="shared" si="151"/>
        <v>0</v>
      </c>
      <c r="AV347" s="695">
        <f t="shared" si="133"/>
        <v>0</v>
      </c>
      <c r="AW347" s="696">
        <f t="shared" si="152"/>
        <v>0</v>
      </c>
      <c r="AX347" s="697">
        <f t="shared" si="153"/>
        <v>0</v>
      </c>
      <c r="AY347" s="700">
        <f t="shared" si="149"/>
        <v>14313</v>
      </c>
      <c r="AZ347" s="697">
        <f t="shared" si="150"/>
        <v>15366</v>
      </c>
      <c r="BA347" s="680"/>
    </row>
    <row r="348" spans="1:53">
      <c r="A348" s="522" t="s">
        <v>532</v>
      </c>
      <c r="B348" s="523" t="s">
        <v>543</v>
      </c>
      <c r="C348" s="524">
        <v>199786</v>
      </c>
      <c r="D348" s="271">
        <v>9</v>
      </c>
      <c r="E348" s="148" t="s">
        <v>393</v>
      </c>
      <c r="F348" s="525" t="s">
        <v>393</v>
      </c>
      <c r="G348" s="679"/>
      <c r="H348" s="678"/>
      <c r="I348" s="679">
        <v>55770</v>
      </c>
      <c r="J348" s="704">
        <v>63420</v>
      </c>
      <c r="K348" s="679">
        <v>16920</v>
      </c>
      <c r="L348" s="704">
        <v>20760</v>
      </c>
      <c r="M348" s="679">
        <v>61560</v>
      </c>
      <c r="N348" s="704">
        <v>72870</v>
      </c>
      <c r="O348" s="694">
        <f t="shared" si="141"/>
        <v>134250</v>
      </c>
      <c r="P348" s="695">
        <f t="shared" si="157"/>
        <v>4475</v>
      </c>
      <c r="Q348" s="696">
        <f t="shared" si="142"/>
        <v>157050</v>
      </c>
      <c r="R348" s="697">
        <f t="shared" si="154"/>
        <v>5235</v>
      </c>
      <c r="S348" s="705">
        <v>7426.5</v>
      </c>
      <c r="T348" s="704">
        <v>7848.9</v>
      </c>
      <c r="U348" s="694">
        <f t="shared" si="143"/>
        <v>134250</v>
      </c>
      <c r="V348" s="698">
        <f t="shared" si="144"/>
        <v>157050</v>
      </c>
      <c r="W348" s="679"/>
      <c r="X348" s="678"/>
      <c r="Y348" s="679"/>
      <c r="Z348" s="678"/>
      <c r="AA348" s="679"/>
      <c r="AB348" s="678"/>
      <c r="AC348" s="679"/>
      <c r="AD348" s="678"/>
      <c r="AE348" s="694">
        <f t="shared" si="145"/>
        <v>0</v>
      </c>
      <c r="AF348" s="695">
        <f t="shared" si="155"/>
        <v>0</v>
      </c>
      <c r="AG348" s="696">
        <f t="shared" si="146"/>
        <v>0</v>
      </c>
      <c r="AH348" s="697">
        <f t="shared" si="156"/>
        <v>0</v>
      </c>
      <c r="AI348" s="679"/>
      <c r="AJ348" s="678"/>
      <c r="AK348" s="694">
        <f t="shared" si="147"/>
        <v>0</v>
      </c>
      <c r="AL348" s="698">
        <f t="shared" si="148"/>
        <v>0</v>
      </c>
      <c r="AM348" s="679"/>
      <c r="AN348" s="678"/>
      <c r="AO348" s="679"/>
      <c r="AP348" s="678"/>
      <c r="AQ348" s="679"/>
      <c r="AR348" s="678"/>
      <c r="AS348" s="679"/>
      <c r="AT348" s="678"/>
      <c r="AU348" s="699">
        <f t="shared" si="151"/>
        <v>0</v>
      </c>
      <c r="AV348" s="695">
        <f t="shared" si="133"/>
        <v>0</v>
      </c>
      <c r="AW348" s="696">
        <f t="shared" si="152"/>
        <v>0</v>
      </c>
      <c r="AX348" s="697">
        <f t="shared" si="153"/>
        <v>0</v>
      </c>
      <c r="AY348" s="700">
        <f t="shared" si="149"/>
        <v>4475</v>
      </c>
      <c r="AZ348" s="697">
        <f t="shared" si="150"/>
        <v>5235</v>
      </c>
      <c r="BA348" s="680"/>
    </row>
    <row r="349" spans="1:53">
      <c r="A349" s="522" t="s">
        <v>532</v>
      </c>
      <c r="B349" s="523" t="s">
        <v>545</v>
      </c>
      <c r="C349" s="524">
        <v>198039</v>
      </c>
      <c r="D349" s="271">
        <v>9</v>
      </c>
      <c r="E349" s="148" t="s">
        <v>393</v>
      </c>
      <c r="F349" s="525" t="s">
        <v>393</v>
      </c>
      <c r="G349" s="679"/>
      <c r="H349" s="678"/>
      <c r="I349" s="679">
        <v>28110</v>
      </c>
      <c r="J349" s="704">
        <v>31650</v>
      </c>
      <c r="K349" s="679">
        <v>9180</v>
      </c>
      <c r="L349" s="704">
        <v>11280</v>
      </c>
      <c r="M349" s="679">
        <v>31890</v>
      </c>
      <c r="N349" s="704">
        <v>39210</v>
      </c>
      <c r="O349" s="694">
        <f t="shared" si="141"/>
        <v>69180</v>
      </c>
      <c r="P349" s="695">
        <f t="shared" si="157"/>
        <v>2306</v>
      </c>
      <c r="Q349" s="696">
        <f t="shared" si="142"/>
        <v>82140</v>
      </c>
      <c r="R349" s="697">
        <f t="shared" si="154"/>
        <v>2738</v>
      </c>
      <c r="S349" s="705">
        <v>4549.8</v>
      </c>
      <c r="T349" s="704">
        <v>4354.8</v>
      </c>
      <c r="U349" s="694">
        <f t="shared" si="143"/>
        <v>69180</v>
      </c>
      <c r="V349" s="698">
        <f t="shared" si="144"/>
        <v>82140</v>
      </c>
      <c r="W349" s="679"/>
      <c r="X349" s="678"/>
      <c r="Y349" s="679"/>
      <c r="Z349" s="678"/>
      <c r="AA349" s="679"/>
      <c r="AB349" s="678"/>
      <c r="AC349" s="679"/>
      <c r="AD349" s="678"/>
      <c r="AE349" s="694">
        <f t="shared" si="145"/>
        <v>0</v>
      </c>
      <c r="AF349" s="695">
        <f t="shared" si="155"/>
        <v>0</v>
      </c>
      <c r="AG349" s="696">
        <f t="shared" si="146"/>
        <v>0</v>
      </c>
      <c r="AH349" s="697">
        <f t="shared" si="156"/>
        <v>0</v>
      </c>
      <c r="AI349" s="679"/>
      <c r="AJ349" s="678"/>
      <c r="AK349" s="694">
        <f t="shared" si="147"/>
        <v>0</v>
      </c>
      <c r="AL349" s="698">
        <f t="shared" si="148"/>
        <v>0</v>
      </c>
      <c r="AM349" s="679"/>
      <c r="AN349" s="678"/>
      <c r="AO349" s="679"/>
      <c r="AP349" s="678"/>
      <c r="AQ349" s="679"/>
      <c r="AR349" s="678"/>
      <c r="AS349" s="679"/>
      <c r="AT349" s="678"/>
      <c r="AU349" s="699">
        <f t="shared" si="151"/>
        <v>0</v>
      </c>
      <c r="AV349" s="695">
        <f t="shared" si="133"/>
        <v>0</v>
      </c>
      <c r="AW349" s="696">
        <f t="shared" si="152"/>
        <v>0</v>
      </c>
      <c r="AX349" s="697">
        <f t="shared" si="153"/>
        <v>0</v>
      </c>
      <c r="AY349" s="700">
        <f t="shared" si="149"/>
        <v>2306</v>
      </c>
      <c r="AZ349" s="697">
        <f t="shared" si="150"/>
        <v>2738</v>
      </c>
      <c r="BA349" s="680"/>
    </row>
    <row r="350" spans="1:53">
      <c r="A350" s="522" t="s">
        <v>532</v>
      </c>
      <c r="B350" s="523" t="s">
        <v>846</v>
      </c>
      <c r="C350" s="524">
        <v>198118</v>
      </c>
      <c r="D350" s="271">
        <v>9</v>
      </c>
      <c r="E350" s="148" t="s">
        <v>393</v>
      </c>
      <c r="F350" s="525" t="s">
        <v>393</v>
      </c>
      <c r="G350" s="679"/>
      <c r="H350" s="678"/>
      <c r="I350" s="679">
        <v>55950</v>
      </c>
      <c r="J350" s="704">
        <v>60180</v>
      </c>
      <c r="K350" s="679">
        <v>16770</v>
      </c>
      <c r="L350" s="704">
        <v>20730</v>
      </c>
      <c r="M350" s="679">
        <v>60630</v>
      </c>
      <c r="N350" s="704">
        <v>72360</v>
      </c>
      <c r="O350" s="694">
        <f t="shared" si="141"/>
        <v>133350</v>
      </c>
      <c r="P350" s="695">
        <f t="shared" si="157"/>
        <v>4445</v>
      </c>
      <c r="Q350" s="696">
        <f t="shared" si="142"/>
        <v>153270</v>
      </c>
      <c r="R350" s="697">
        <f t="shared" si="154"/>
        <v>5109</v>
      </c>
      <c r="S350" s="705">
        <v>8369.1</v>
      </c>
      <c r="T350" s="704">
        <v>9591.9000000000015</v>
      </c>
      <c r="U350" s="694">
        <f t="shared" si="143"/>
        <v>133350</v>
      </c>
      <c r="V350" s="698">
        <f t="shared" si="144"/>
        <v>153270</v>
      </c>
      <c r="W350" s="679"/>
      <c r="X350" s="678"/>
      <c r="Y350" s="679"/>
      <c r="Z350" s="678"/>
      <c r="AA350" s="679"/>
      <c r="AB350" s="678"/>
      <c r="AC350" s="679"/>
      <c r="AD350" s="678"/>
      <c r="AE350" s="694">
        <f t="shared" si="145"/>
        <v>0</v>
      </c>
      <c r="AF350" s="695">
        <f t="shared" si="155"/>
        <v>0</v>
      </c>
      <c r="AG350" s="696">
        <f t="shared" si="146"/>
        <v>0</v>
      </c>
      <c r="AH350" s="697">
        <f t="shared" si="156"/>
        <v>0</v>
      </c>
      <c r="AI350" s="679"/>
      <c r="AJ350" s="678"/>
      <c r="AK350" s="694">
        <f t="shared" si="147"/>
        <v>0</v>
      </c>
      <c r="AL350" s="698">
        <f t="shared" si="148"/>
        <v>0</v>
      </c>
      <c r="AM350" s="679"/>
      <c r="AN350" s="678"/>
      <c r="AO350" s="679"/>
      <c r="AP350" s="678"/>
      <c r="AQ350" s="679"/>
      <c r="AR350" s="678"/>
      <c r="AS350" s="679"/>
      <c r="AT350" s="678"/>
      <c r="AU350" s="699">
        <f t="shared" si="151"/>
        <v>0</v>
      </c>
      <c r="AV350" s="695">
        <f t="shared" ref="AV350:AV413" si="158">+AU350/24</f>
        <v>0</v>
      </c>
      <c r="AW350" s="696">
        <f t="shared" si="152"/>
        <v>0</v>
      </c>
      <c r="AX350" s="697">
        <f t="shared" si="153"/>
        <v>0</v>
      </c>
      <c r="AY350" s="700">
        <f t="shared" si="149"/>
        <v>4445</v>
      </c>
      <c r="AZ350" s="697">
        <f t="shared" si="150"/>
        <v>5109</v>
      </c>
      <c r="BA350" s="680"/>
    </row>
    <row r="351" spans="1:53">
      <c r="A351" s="522" t="s">
        <v>532</v>
      </c>
      <c r="B351" s="523" t="s">
        <v>546</v>
      </c>
      <c r="C351" s="524">
        <v>198321</v>
      </c>
      <c r="D351" s="271">
        <v>9</v>
      </c>
      <c r="E351" s="148" t="s">
        <v>393</v>
      </c>
      <c r="F351" s="525" t="s">
        <v>393</v>
      </c>
      <c r="G351" s="679"/>
      <c r="H351" s="678"/>
      <c r="I351" s="679">
        <v>42000</v>
      </c>
      <c r="J351" s="704">
        <v>49350</v>
      </c>
      <c r="K351" s="679">
        <v>9210</v>
      </c>
      <c r="L351" s="704">
        <v>12660</v>
      </c>
      <c r="M351" s="679">
        <v>47580</v>
      </c>
      <c r="N351" s="704">
        <v>57840</v>
      </c>
      <c r="O351" s="694">
        <f t="shared" si="141"/>
        <v>98790</v>
      </c>
      <c r="P351" s="695">
        <f t="shared" si="157"/>
        <v>3293</v>
      </c>
      <c r="Q351" s="696">
        <f t="shared" si="142"/>
        <v>119850</v>
      </c>
      <c r="R351" s="697">
        <f t="shared" si="154"/>
        <v>3995</v>
      </c>
      <c r="S351" s="705">
        <v>12338.099999999999</v>
      </c>
      <c r="T351" s="704">
        <v>15212.1</v>
      </c>
      <c r="U351" s="694">
        <f t="shared" si="143"/>
        <v>98790</v>
      </c>
      <c r="V351" s="698">
        <f t="shared" si="144"/>
        <v>119850</v>
      </c>
      <c r="W351" s="679"/>
      <c r="X351" s="678"/>
      <c r="Y351" s="679"/>
      <c r="Z351" s="678"/>
      <c r="AA351" s="679"/>
      <c r="AB351" s="678"/>
      <c r="AC351" s="679"/>
      <c r="AD351" s="678"/>
      <c r="AE351" s="694">
        <f t="shared" si="145"/>
        <v>0</v>
      </c>
      <c r="AF351" s="695">
        <f t="shared" si="155"/>
        <v>0</v>
      </c>
      <c r="AG351" s="696">
        <f t="shared" si="146"/>
        <v>0</v>
      </c>
      <c r="AH351" s="697">
        <f t="shared" si="156"/>
        <v>0</v>
      </c>
      <c r="AI351" s="679"/>
      <c r="AJ351" s="678"/>
      <c r="AK351" s="694">
        <f t="shared" si="147"/>
        <v>0</v>
      </c>
      <c r="AL351" s="698">
        <f t="shared" si="148"/>
        <v>0</v>
      </c>
      <c r="AM351" s="679"/>
      <c r="AN351" s="678"/>
      <c r="AO351" s="679"/>
      <c r="AP351" s="678"/>
      <c r="AQ351" s="679"/>
      <c r="AR351" s="678"/>
      <c r="AS351" s="679"/>
      <c r="AT351" s="678"/>
      <c r="AU351" s="699">
        <f t="shared" si="151"/>
        <v>0</v>
      </c>
      <c r="AV351" s="695">
        <f t="shared" si="158"/>
        <v>0</v>
      </c>
      <c r="AW351" s="696">
        <f t="shared" si="152"/>
        <v>0</v>
      </c>
      <c r="AX351" s="697">
        <f t="shared" si="153"/>
        <v>0</v>
      </c>
      <c r="AY351" s="700">
        <f t="shared" si="149"/>
        <v>3293</v>
      </c>
      <c r="AZ351" s="697">
        <f t="shared" si="150"/>
        <v>3995</v>
      </c>
      <c r="BA351" s="680"/>
    </row>
    <row r="352" spans="1:53">
      <c r="A352" s="522" t="s">
        <v>532</v>
      </c>
      <c r="B352" s="92" t="s">
        <v>547</v>
      </c>
      <c r="C352" s="524">
        <v>198330</v>
      </c>
      <c r="D352" s="271">
        <v>9</v>
      </c>
      <c r="E352" s="148" t="s">
        <v>393</v>
      </c>
      <c r="F352" s="525" t="s">
        <v>393</v>
      </c>
      <c r="G352" s="679"/>
      <c r="H352" s="678"/>
      <c r="I352" s="679">
        <v>60150</v>
      </c>
      <c r="J352" s="704">
        <v>63180</v>
      </c>
      <c r="K352" s="679">
        <v>27090</v>
      </c>
      <c r="L352" s="704">
        <v>28350</v>
      </c>
      <c r="M352" s="679">
        <v>65280</v>
      </c>
      <c r="N352" s="704">
        <v>70500</v>
      </c>
      <c r="O352" s="694">
        <f t="shared" si="141"/>
        <v>152520</v>
      </c>
      <c r="P352" s="695">
        <f t="shared" si="157"/>
        <v>5084</v>
      </c>
      <c r="Q352" s="696">
        <f t="shared" si="142"/>
        <v>162030</v>
      </c>
      <c r="R352" s="697">
        <f t="shared" si="154"/>
        <v>5401</v>
      </c>
      <c r="S352" s="705">
        <v>1892.3999999999999</v>
      </c>
      <c r="T352" s="704">
        <v>1627.5</v>
      </c>
      <c r="U352" s="694">
        <f t="shared" si="143"/>
        <v>152520</v>
      </c>
      <c r="V352" s="698">
        <f t="shared" si="144"/>
        <v>162030</v>
      </c>
      <c r="W352" s="679"/>
      <c r="X352" s="678"/>
      <c r="Y352" s="679"/>
      <c r="Z352" s="678"/>
      <c r="AA352" s="679"/>
      <c r="AB352" s="678"/>
      <c r="AC352" s="679"/>
      <c r="AD352" s="678"/>
      <c r="AE352" s="694">
        <f t="shared" si="145"/>
        <v>0</v>
      </c>
      <c r="AF352" s="695">
        <f t="shared" si="155"/>
        <v>0</v>
      </c>
      <c r="AG352" s="696">
        <f t="shared" si="146"/>
        <v>0</v>
      </c>
      <c r="AH352" s="697">
        <f t="shared" si="156"/>
        <v>0</v>
      </c>
      <c r="AI352" s="679"/>
      <c r="AJ352" s="678"/>
      <c r="AK352" s="694">
        <f t="shared" si="147"/>
        <v>0</v>
      </c>
      <c r="AL352" s="698">
        <f t="shared" si="148"/>
        <v>0</v>
      </c>
      <c r="AM352" s="679"/>
      <c r="AN352" s="678"/>
      <c r="AO352" s="679"/>
      <c r="AP352" s="678"/>
      <c r="AQ352" s="679"/>
      <c r="AR352" s="678"/>
      <c r="AS352" s="679"/>
      <c r="AT352" s="678"/>
      <c r="AU352" s="699">
        <f t="shared" si="151"/>
        <v>0</v>
      </c>
      <c r="AV352" s="695">
        <f t="shared" si="158"/>
        <v>0</v>
      </c>
      <c r="AW352" s="696">
        <f t="shared" si="152"/>
        <v>0</v>
      </c>
      <c r="AX352" s="697">
        <f t="shared" si="153"/>
        <v>0</v>
      </c>
      <c r="AY352" s="700">
        <f t="shared" si="149"/>
        <v>5084</v>
      </c>
      <c r="AZ352" s="697">
        <f t="shared" si="150"/>
        <v>5401</v>
      </c>
      <c r="BA352" s="680"/>
    </row>
    <row r="353" spans="1:53">
      <c r="A353" s="522" t="s">
        <v>532</v>
      </c>
      <c r="B353" s="523" t="s">
        <v>548</v>
      </c>
      <c r="C353" s="524">
        <v>197814</v>
      </c>
      <c r="D353" s="271">
        <v>9</v>
      </c>
      <c r="E353" s="148" t="s">
        <v>393</v>
      </c>
      <c r="F353" s="525" t="s">
        <v>393</v>
      </c>
      <c r="G353" s="679"/>
      <c r="H353" s="678"/>
      <c r="I353" s="679">
        <v>33570</v>
      </c>
      <c r="J353" s="704">
        <v>34410</v>
      </c>
      <c r="K353" s="679">
        <v>6720</v>
      </c>
      <c r="L353" s="704">
        <v>6480</v>
      </c>
      <c r="M353" s="679">
        <v>35400</v>
      </c>
      <c r="N353" s="704">
        <v>39540</v>
      </c>
      <c r="O353" s="694">
        <f t="shared" si="141"/>
        <v>75690</v>
      </c>
      <c r="P353" s="695">
        <f t="shared" si="157"/>
        <v>2523</v>
      </c>
      <c r="Q353" s="696">
        <f t="shared" si="142"/>
        <v>80430</v>
      </c>
      <c r="R353" s="697">
        <f t="shared" si="154"/>
        <v>2681</v>
      </c>
      <c r="S353" s="705">
        <v>4223.3999999999996</v>
      </c>
      <c r="T353" s="704">
        <v>4193.7</v>
      </c>
      <c r="U353" s="694">
        <f t="shared" si="143"/>
        <v>75690</v>
      </c>
      <c r="V353" s="698">
        <f t="shared" si="144"/>
        <v>80430</v>
      </c>
      <c r="W353" s="679"/>
      <c r="X353" s="678"/>
      <c r="Y353" s="679"/>
      <c r="Z353" s="678"/>
      <c r="AA353" s="679"/>
      <c r="AB353" s="678"/>
      <c r="AC353" s="679"/>
      <c r="AD353" s="678"/>
      <c r="AE353" s="694">
        <f t="shared" si="145"/>
        <v>0</v>
      </c>
      <c r="AF353" s="695">
        <f t="shared" si="155"/>
        <v>0</v>
      </c>
      <c r="AG353" s="696">
        <f t="shared" si="146"/>
        <v>0</v>
      </c>
      <c r="AH353" s="697">
        <f t="shared" si="156"/>
        <v>0</v>
      </c>
      <c r="AI353" s="679"/>
      <c r="AJ353" s="678"/>
      <c r="AK353" s="694">
        <f t="shared" si="147"/>
        <v>0</v>
      </c>
      <c r="AL353" s="698">
        <f t="shared" si="148"/>
        <v>0</v>
      </c>
      <c r="AM353" s="679"/>
      <c r="AN353" s="678"/>
      <c r="AO353" s="679"/>
      <c r="AP353" s="678"/>
      <c r="AQ353" s="679"/>
      <c r="AR353" s="678"/>
      <c r="AS353" s="679"/>
      <c r="AT353" s="678"/>
      <c r="AU353" s="699">
        <f t="shared" si="151"/>
        <v>0</v>
      </c>
      <c r="AV353" s="695">
        <f t="shared" si="158"/>
        <v>0</v>
      </c>
      <c r="AW353" s="696">
        <f t="shared" si="152"/>
        <v>0</v>
      </c>
      <c r="AX353" s="697">
        <f t="shared" si="153"/>
        <v>0</v>
      </c>
      <c r="AY353" s="700">
        <f t="shared" si="149"/>
        <v>2523</v>
      </c>
      <c r="AZ353" s="697">
        <f t="shared" si="150"/>
        <v>2681</v>
      </c>
      <c r="BA353" s="680"/>
    </row>
    <row r="354" spans="1:53">
      <c r="A354" s="522" t="s">
        <v>532</v>
      </c>
      <c r="B354" s="523" t="s">
        <v>549</v>
      </c>
      <c r="C354" s="524">
        <v>198367</v>
      </c>
      <c r="D354" s="271">
        <v>9</v>
      </c>
      <c r="E354" s="148" t="s">
        <v>393</v>
      </c>
      <c r="F354" s="525" t="s">
        <v>393</v>
      </c>
      <c r="G354" s="679"/>
      <c r="H354" s="678"/>
      <c r="I354" s="679">
        <v>38190</v>
      </c>
      <c r="J354" s="704">
        <v>42450</v>
      </c>
      <c r="K354" s="679">
        <v>11640</v>
      </c>
      <c r="L354" s="704">
        <v>15180</v>
      </c>
      <c r="M354" s="679">
        <v>42090</v>
      </c>
      <c r="N354" s="704">
        <v>46350</v>
      </c>
      <c r="O354" s="694">
        <f t="shared" si="141"/>
        <v>91920</v>
      </c>
      <c r="P354" s="695">
        <f t="shared" si="157"/>
        <v>3064</v>
      </c>
      <c r="Q354" s="696">
        <f t="shared" si="142"/>
        <v>103980</v>
      </c>
      <c r="R354" s="697">
        <f t="shared" si="154"/>
        <v>3466</v>
      </c>
      <c r="S354" s="705">
        <v>3432.9</v>
      </c>
      <c r="T354" s="704">
        <v>3492.2999999999997</v>
      </c>
      <c r="U354" s="694">
        <f t="shared" si="143"/>
        <v>91920</v>
      </c>
      <c r="V354" s="698">
        <f t="shared" si="144"/>
        <v>103980</v>
      </c>
      <c r="W354" s="679"/>
      <c r="X354" s="678"/>
      <c r="Y354" s="679"/>
      <c r="Z354" s="678"/>
      <c r="AA354" s="679"/>
      <c r="AB354" s="678"/>
      <c r="AC354" s="679"/>
      <c r="AD354" s="678"/>
      <c r="AE354" s="694">
        <f t="shared" si="145"/>
        <v>0</v>
      </c>
      <c r="AF354" s="695">
        <f t="shared" si="155"/>
        <v>0</v>
      </c>
      <c r="AG354" s="696">
        <f t="shared" si="146"/>
        <v>0</v>
      </c>
      <c r="AH354" s="697">
        <f t="shared" si="156"/>
        <v>0</v>
      </c>
      <c r="AI354" s="679"/>
      <c r="AJ354" s="678"/>
      <c r="AK354" s="694">
        <f t="shared" si="147"/>
        <v>0</v>
      </c>
      <c r="AL354" s="698">
        <f t="shared" si="148"/>
        <v>0</v>
      </c>
      <c r="AM354" s="679"/>
      <c r="AN354" s="678"/>
      <c r="AO354" s="679"/>
      <c r="AP354" s="678"/>
      <c r="AQ354" s="679"/>
      <c r="AR354" s="678"/>
      <c r="AS354" s="679"/>
      <c r="AT354" s="678"/>
      <c r="AU354" s="699">
        <f t="shared" si="151"/>
        <v>0</v>
      </c>
      <c r="AV354" s="695">
        <f t="shared" si="158"/>
        <v>0</v>
      </c>
      <c r="AW354" s="696">
        <f t="shared" si="152"/>
        <v>0</v>
      </c>
      <c r="AX354" s="697">
        <f t="shared" si="153"/>
        <v>0</v>
      </c>
      <c r="AY354" s="700">
        <f t="shared" si="149"/>
        <v>3064</v>
      </c>
      <c r="AZ354" s="697">
        <f t="shared" si="150"/>
        <v>3466</v>
      </c>
      <c r="BA354" s="680"/>
    </row>
    <row r="355" spans="1:53">
      <c r="A355" s="522" t="s">
        <v>532</v>
      </c>
      <c r="B355" s="523" t="s">
        <v>550</v>
      </c>
      <c r="C355" s="524">
        <v>198376</v>
      </c>
      <c r="D355" s="271">
        <v>9</v>
      </c>
      <c r="E355" s="148" t="s">
        <v>393</v>
      </c>
      <c r="F355" s="525" t="s">
        <v>393</v>
      </c>
      <c r="G355" s="679"/>
      <c r="H355" s="678"/>
      <c r="I355" s="679">
        <v>51870</v>
      </c>
      <c r="J355" s="704">
        <v>58680</v>
      </c>
      <c r="K355" s="679">
        <v>17490</v>
      </c>
      <c r="L355" s="704">
        <v>20670</v>
      </c>
      <c r="M355" s="679">
        <v>55740</v>
      </c>
      <c r="N355" s="704">
        <v>63780</v>
      </c>
      <c r="O355" s="694">
        <f t="shared" si="141"/>
        <v>125100</v>
      </c>
      <c r="P355" s="695">
        <f t="shared" si="157"/>
        <v>4170</v>
      </c>
      <c r="Q355" s="696">
        <f t="shared" si="142"/>
        <v>143130</v>
      </c>
      <c r="R355" s="697">
        <f t="shared" si="154"/>
        <v>4771</v>
      </c>
      <c r="S355" s="705">
        <v>7013.4</v>
      </c>
      <c r="T355" s="704">
        <v>7548.9</v>
      </c>
      <c r="U355" s="694">
        <f t="shared" si="143"/>
        <v>125100</v>
      </c>
      <c r="V355" s="698">
        <f t="shared" si="144"/>
        <v>143130</v>
      </c>
      <c r="W355" s="679"/>
      <c r="X355" s="678"/>
      <c r="Y355" s="679"/>
      <c r="Z355" s="678"/>
      <c r="AA355" s="679"/>
      <c r="AB355" s="678"/>
      <c r="AC355" s="679"/>
      <c r="AD355" s="678"/>
      <c r="AE355" s="694">
        <f t="shared" si="145"/>
        <v>0</v>
      </c>
      <c r="AF355" s="695">
        <f t="shared" si="155"/>
        <v>0</v>
      </c>
      <c r="AG355" s="696">
        <f t="shared" si="146"/>
        <v>0</v>
      </c>
      <c r="AH355" s="697">
        <f t="shared" si="156"/>
        <v>0</v>
      </c>
      <c r="AI355" s="679"/>
      <c r="AJ355" s="678"/>
      <c r="AK355" s="694">
        <f t="shared" si="147"/>
        <v>0</v>
      </c>
      <c r="AL355" s="698">
        <f t="shared" si="148"/>
        <v>0</v>
      </c>
      <c r="AM355" s="679"/>
      <c r="AN355" s="678"/>
      <c r="AO355" s="679"/>
      <c r="AP355" s="678"/>
      <c r="AQ355" s="679"/>
      <c r="AR355" s="678"/>
      <c r="AS355" s="679"/>
      <c r="AT355" s="678"/>
      <c r="AU355" s="699">
        <f t="shared" si="151"/>
        <v>0</v>
      </c>
      <c r="AV355" s="695">
        <f t="shared" si="158"/>
        <v>0</v>
      </c>
      <c r="AW355" s="696">
        <f t="shared" si="152"/>
        <v>0</v>
      </c>
      <c r="AX355" s="697">
        <f t="shared" si="153"/>
        <v>0</v>
      </c>
      <c r="AY355" s="700">
        <f t="shared" si="149"/>
        <v>4170</v>
      </c>
      <c r="AZ355" s="697">
        <f t="shared" si="150"/>
        <v>4771</v>
      </c>
      <c r="BA355" s="680"/>
    </row>
    <row r="356" spans="1:53">
      <c r="A356" s="522" t="s">
        <v>532</v>
      </c>
      <c r="B356" s="523" t="s">
        <v>552</v>
      </c>
      <c r="C356" s="524">
        <v>198491</v>
      </c>
      <c r="D356" s="271">
        <v>9</v>
      </c>
      <c r="E356" s="148" t="s">
        <v>393</v>
      </c>
      <c r="F356" s="525" t="s">
        <v>393</v>
      </c>
      <c r="G356" s="679"/>
      <c r="H356" s="678"/>
      <c r="I356" s="679">
        <v>31140</v>
      </c>
      <c r="J356" s="704">
        <v>34800</v>
      </c>
      <c r="K356" s="679">
        <v>10470</v>
      </c>
      <c r="L356" s="704">
        <v>12990</v>
      </c>
      <c r="M356" s="679">
        <v>34230</v>
      </c>
      <c r="N356" s="704">
        <v>44880</v>
      </c>
      <c r="O356" s="694">
        <f t="shared" si="141"/>
        <v>75840</v>
      </c>
      <c r="P356" s="695">
        <f t="shared" si="157"/>
        <v>2528</v>
      </c>
      <c r="Q356" s="696">
        <f t="shared" si="142"/>
        <v>92670</v>
      </c>
      <c r="R356" s="697">
        <f t="shared" si="154"/>
        <v>3089</v>
      </c>
      <c r="S356" s="705">
        <v>4432.5</v>
      </c>
      <c r="T356" s="704">
        <v>4034.1</v>
      </c>
      <c r="U356" s="694">
        <f t="shared" si="143"/>
        <v>75840</v>
      </c>
      <c r="V356" s="698">
        <f t="shared" si="144"/>
        <v>92670</v>
      </c>
      <c r="W356" s="679"/>
      <c r="X356" s="678"/>
      <c r="Y356" s="679"/>
      <c r="Z356" s="678"/>
      <c r="AA356" s="679"/>
      <c r="AB356" s="678"/>
      <c r="AC356" s="679"/>
      <c r="AD356" s="678"/>
      <c r="AE356" s="694">
        <f t="shared" si="145"/>
        <v>0</v>
      </c>
      <c r="AF356" s="695">
        <f t="shared" si="155"/>
        <v>0</v>
      </c>
      <c r="AG356" s="696">
        <f t="shared" si="146"/>
        <v>0</v>
      </c>
      <c r="AH356" s="697">
        <f t="shared" si="156"/>
        <v>0</v>
      </c>
      <c r="AI356" s="679"/>
      <c r="AJ356" s="678"/>
      <c r="AK356" s="694">
        <f t="shared" si="147"/>
        <v>0</v>
      </c>
      <c r="AL356" s="698">
        <f t="shared" si="148"/>
        <v>0</v>
      </c>
      <c r="AM356" s="679"/>
      <c r="AN356" s="678"/>
      <c r="AO356" s="679"/>
      <c r="AP356" s="678"/>
      <c r="AQ356" s="679"/>
      <c r="AR356" s="678"/>
      <c r="AS356" s="679"/>
      <c r="AT356" s="678"/>
      <c r="AU356" s="699">
        <f t="shared" si="151"/>
        <v>0</v>
      </c>
      <c r="AV356" s="695">
        <f t="shared" si="158"/>
        <v>0</v>
      </c>
      <c r="AW356" s="696">
        <f t="shared" si="152"/>
        <v>0</v>
      </c>
      <c r="AX356" s="697">
        <f t="shared" si="153"/>
        <v>0</v>
      </c>
      <c r="AY356" s="700">
        <f t="shared" si="149"/>
        <v>2528</v>
      </c>
      <c r="AZ356" s="697">
        <f t="shared" si="150"/>
        <v>3089</v>
      </c>
      <c r="BA356" s="680"/>
    </row>
    <row r="357" spans="1:53">
      <c r="A357" s="522" t="s">
        <v>532</v>
      </c>
      <c r="B357" s="92" t="s">
        <v>553</v>
      </c>
      <c r="C357" s="524">
        <v>198570</v>
      </c>
      <c r="D357" s="271">
        <v>9</v>
      </c>
      <c r="E357" s="148" t="s">
        <v>393</v>
      </c>
      <c r="F357" s="525" t="s">
        <v>393</v>
      </c>
      <c r="G357" s="679"/>
      <c r="H357" s="678"/>
      <c r="I357" s="679">
        <v>66090</v>
      </c>
      <c r="J357" s="704">
        <v>81510</v>
      </c>
      <c r="K357" s="679">
        <v>17160</v>
      </c>
      <c r="L357" s="704">
        <v>24180</v>
      </c>
      <c r="M357" s="679">
        <v>74100</v>
      </c>
      <c r="N357" s="704">
        <v>92490</v>
      </c>
      <c r="O357" s="694">
        <f t="shared" si="141"/>
        <v>157350</v>
      </c>
      <c r="P357" s="695">
        <f t="shared" si="157"/>
        <v>5245</v>
      </c>
      <c r="Q357" s="696">
        <f t="shared" si="142"/>
        <v>198180</v>
      </c>
      <c r="R357" s="697">
        <f t="shared" si="154"/>
        <v>6606</v>
      </c>
      <c r="S357" s="705">
        <v>8208.6</v>
      </c>
      <c r="T357" s="704">
        <v>8275.1999999999989</v>
      </c>
      <c r="U357" s="694">
        <f t="shared" si="143"/>
        <v>157350</v>
      </c>
      <c r="V357" s="698">
        <f t="shared" si="144"/>
        <v>198180</v>
      </c>
      <c r="W357" s="679"/>
      <c r="X357" s="678"/>
      <c r="Y357" s="679"/>
      <c r="Z357" s="678"/>
      <c r="AA357" s="679"/>
      <c r="AB357" s="678"/>
      <c r="AC357" s="679"/>
      <c r="AD357" s="678"/>
      <c r="AE357" s="694">
        <f t="shared" si="145"/>
        <v>0</v>
      </c>
      <c r="AF357" s="695">
        <f t="shared" si="155"/>
        <v>0</v>
      </c>
      <c r="AG357" s="696">
        <f t="shared" si="146"/>
        <v>0</v>
      </c>
      <c r="AH357" s="697">
        <f t="shared" si="156"/>
        <v>0</v>
      </c>
      <c r="AI357" s="679"/>
      <c r="AJ357" s="678"/>
      <c r="AK357" s="694">
        <f t="shared" si="147"/>
        <v>0</v>
      </c>
      <c r="AL357" s="698">
        <f t="shared" si="148"/>
        <v>0</v>
      </c>
      <c r="AM357" s="679"/>
      <c r="AN357" s="678"/>
      <c r="AO357" s="679"/>
      <c r="AP357" s="678"/>
      <c r="AQ357" s="679"/>
      <c r="AR357" s="678"/>
      <c r="AS357" s="679"/>
      <c r="AT357" s="678"/>
      <c r="AU357" s="699">
        <f t="shared" si="151"/>
        <v>0</v>
      </c>
      <c r="AV357" s="695">
        <f t="shared" si="158"/>
        <v>0</v>
      </c>
      <c r="AW357" s="696">
        <f t="shared" si="152"/>
        <v>0</v>
      </c>
      <c r="AX357" s="697">
        <f t="shared" si="153"/>
        <v>0</v>
      </c>
      <c r="AY357" s="700">
        <f t="shared" si="149"/>
        <v>5245</v>
      </c>
      <c r="AZ357" s="697">
        <f t="shared" si="150"/>
        <v>6606</v>
      </c>
      <c r="BA357" s="680"/>
    </row>
    <row r="358" spans="1:53">
      <c r="A358" s="522" t="s">
        <v>532</v>
      </c>
      <c r="B358" s="523" t="s">
        <v>554</v>
      </c>
      <c r="C358" s="524">
        <v>198668</v>
      </c>
      <c r="D358" s="271">
        <v>9</v>
      </c>
      <c r="E358" s="148" t="s">
        <v>393</v>
      </c>
      <c r="F358" s="525" t="s">
        <v>393</v>
      </c>
      <c r="G358" s="679"/>
      <c r="H358" s="678"/>
      <c r="I358" s="679">
        <v>26010</v>
      </c>
      <c r="J358" s="704">
        <v>28890</v>
      </c>
      <c r="K358" s="679">
        <v>6840</v>
      </c>
      <c r="L358" s="704">
        <v>7800</v>
      </c>
      <c r="M358" s="679">
        <v>28170</v>
      </c>
      <c r="N358" s="704">
        <v>31890</v>
      </c>
      <c r="O358" s="694">
        <f t="shared" si="141"/>
        <v>61020</v>
      </c>
      <c r="P358" s="695">
        <f t="shared" si="157"/>
        <v>2034</v>
      </c>
      <c r="Q358" s="696">
        <f t="shared" si="142"/>
        <v>68580</v>
      </c>
      <c r="R358" s="697">
        <f t="shared" si="154"/>
        <v>2286</v>
      </c>
      <c r="S358" s="705">
        <v>8779.1999999999989</v>
      </c>
      <c r="T358" s="704">
        <v>8092.5</v>
      </c>
      <c r="U358" s="694">
        <f t="shared" si="143"/>
        <v>61020</v>
      </c>
      <c r="V358" s="698">
        <f t="shared" si="144"/>
        <v>68580</v>
      </c>
      <c r="W358" s="679"/>
      <c r="X358" s="678"/>
      <c r="Y358" s="679"/>
      <c r="Z358" s="678"/>
      <c r="AA358" s="679"/>
      <c r="AB358" s="678"/>
      <c r="AC358" s="679"/>
      <c r="AD358" s="678"/>
      <c r="AE358" s="694">
        <f t="shared" si="145"/>
        <v>0</v>
      </c>
      <c r="AF358" s="695">
        <f t="shared" si="155"/>
        <v>0</v>
      </c>
      <c r="AG358" s="696">
        <f t="shared" si="146"/>
        <v>0</v>
      </c>
      <c r="AH358" s="697">
        <f t="shared" si="156"/>
        <v>0</v>
      </c>
      <c r="AI358" s="679"/>
      <c r="AJ358" s="678"/>
      <c r="AK358" s="694">
        <f t="shared" si="147"/>
        <v>0</v>
      </c>
      <c r="AL358" s="698">
        <f t="shared" si="148"/>
        <v>0</v>
      </c>
      <c r="AM358" s="679"/>
      <c r="AN358" s="678"/>
      <c r="AO358" s="679"/>
      <c r="AP358" s="678"/>
      <c r="AQ358" s="679"/>
      <c r="AR358" s="678"/>
      <c r="AS358" s="679"/>
      <c r="AT358" s="678"/>
      <c r="AU358" s="699">
        <f t="shared" si="151"/>
        <v>0</v>
      </c>
      <c r="AV358" s="695">
        <f t="shared" si="158"/>
        <v>0</v>
      </c>
      <c r="AW358" s="696">
        <f t="shared" si="152"/>
        <v>0</v>
      </c>
      <c r="AX358" s="697">
        <f t="shared" si="153"/>
        <v>0</v>
      </c>
      <c r="AY358" s="700">
        <f t="shared" si="149"/>
        <v>2034</v>
      </c>
      <c r="AZ358" s="697">
        <f t="shared" si="150"/>
        <v>2286</v>
      </c>
      <c r="BA358" s="680"/>
    </row>
    <row r="359" spans="1:53">
      <c r="A359" s="522" t="s">
        <v>532</v>
      </c>
      <c r="B359" s="523" t="s">
        <v>555</v>
      </c>
      <c r="C359" s="524">
        <v>198710</v>
      </c>
      <c r="D359" s="271">
        <v>9</v>
      </c>
      <c r="E359" s="148" t="s">
        <v>393</v>
      </c>
      <c r="F359" s="525" t="s">
        <v>393</v>
      </c>
      <c r="G359" s="679"/>
      <c r="H359" s="678"/>
      <c r="I359" s="679">
        <v>28710</v>
      </c>
      <c r="J359" s="704">
        <v>37410</v>
      </c>
      <c r="K359" s="679">
        <v>10710</v>
      </c>
      <c r="L359" s="704">
        <v>13770</v>
      </c>
      <c r="M359" s="679">
        <v>32820</v>
      </c>
      <c r="N359" s="704">
        <v>38790</v>
      </c>
      <c r="O359" s="694">
        <f t="shared" si="141"/>
        <v>72240</v>
      </c>
      <c r="P359" s="695">
        <f t="shared" si="157"/>
        <v>2408</v>
      </c>
      <c r="Q359" s="696">
        <f t="shared" si="142"/>
        <v>89970</v>
      </c>
      <c r="R359" s="697">
        <f t="shared" si="154"/>
        <v>2999</v>
      </c>
      <c r="S359" s="705">
        <v>7627.7999999999993</v>
      </c>
      <c r="T359" s="704">
        <v>8310.2999999999993</v>
      </c>
      <c r="U359" s="694">
        <f t="shared" si="143"/>
        <v>72240</v>
      </c>
      <c r="V359" s="698">
        <f t="shared" si="144"/>
        <v>89970</v>
      </c>
      <c r="W359" s="679"/>
      <c r="X359" s="678"/>
      <c r="Y359" s="679"/>
      <c r="Z359" s="678"/>
      <c r="AA359" s="679"/>
      <c r="AB359" s="678"/>
      <c r="AC359" s="679"/>
      <c r="AD359" s="678"/>
      <c r="AE359" s="694">
        <f t="shared" si="145"/>
        <v>0</v>
      </c>
      <c r="AF359" s="695">
        <f t="shared" si="155"/>
        <v>0</v>
      </c>
      <c r="AG359" s="696">
        <f t="shared" si="146"/>
        <v>0</v>
      </c>
      <c r="AH359" s="697">
        <f t="shared" si="156"/>
        <v>0</v>
      </c>
      <c r="AI359" s="679"/>
      <c r="AJ359" s="678"/>
      <c r="AK359" s="694">
        <f t="shared" si="147"/>
        <v>0</v>
      </c>
      <c r="AL359" s="698">
        <f t="shared" si="148"/>
        <v>0</v>
      </c>
      <c r="AM359" s="679"/>
      <c r="AN359" s="678"/>
      <c r="AO359" s="679"/>
      <c r="AP359" s="678"/>
      <c r="AQ359" s="679"/>
      <c r="AR359" s="678"/>
      <c r="AS359" s="679"/>
      <c r="AT359" s="678"/>
      <c r="AU359" s="699">
        <f t="shared" si="151"/>
        <v>0</v>
      </c>
      <c r="AV359" s="695">
        <f t="shared" si="158"/>
        <v>0</v>
      </c>
      <c r="AW359" s="696">
        <f t="shared" si="152"/>
        <v>0</v>
      </c>
      <c r="AX359" s="697">
        <f t="shared" si="153"/>
        <v>0</v>
      </c>
      <c r="AY359" s="700">
        <f t="shared" si="149"/>
        <v>2408</v>
      </c>
      <c r="AZ359" s="697">
        <f t="shared" si="150"/>
        <v>2999</v>
      </c>
      <c r="BA359" s="680"/>
    </row>
    <row r="360" spans="1:53">
      <c r="A360" s="522" t="s">
        <v>532</v>
      </c>
      <c r="B360" s="523" t="s">
        <v>556</v>
      </c>
      <c r="C360" s="524">
        <v>198774</v>
      </c>
      <c r="D360" s="271">
        <v>9</v>
      </c>
      <c r="E360" s="148" t="s">
        <v>393</v>
      </c>
      <c r="F360" s="525" t="s">
        <v>393</v>
      </c>
      <c r="G360" s="679"/>
      <c r="H360" s="678"/>
      <c r="I360" s="679">
        <v>59580</v>
      </c>
      <c r="J360" s="704">
        <v>63450</v>
      </c>
      <c r="K360" s="679">
        <v>13350</v>
      </c>
      <c r="L360" s="704">
        <v>14310</v>
      </c>
      <c r="M360" s="679">
        <v>62700</v>
      </c>
      <c r="N360" s="704">
        <v>68880</v>
      </c>
      <c r="O360" s="694">
        <f t="shared" si="141"/>
        <v>135630</v>
      </c>
      <c r="P360" s="695">
        <f t="shared" si="157"/>
        <v>4521</v>
      </c>
      <c r="Q360" s="696">
        <f t="shared" si="142"/>
        <v>146640</v>
      </c>
      <c r="R360" s="697">
        <f t="shared" si="154"/>
        <v>4888</v>
      </c>
      <c r="S360" s="705">
        <v>15068.4</v>
      </c>
      <c r="T360" s="704">
        <v>11942.699999999999</v>
      </c>
      <c r="U360" s="694">
        <f t="shared" si="143"/>
        <v>135630</v>
      </c>
      <c r="V360" s="698">
        <f t="shared" si="144"/>
        <v>146640</v>
      </c>
      <c r="W360" s="679"/>
      <c r="X360" s="678"/>
      <c r="Y360" s="679"/>
      <c r="Z360" s="678"/>
      <c r="AA360" s="679"/>
      <c r="AB360" s="678"/>
      <c r="AC360" s="679"/>
      <c r="AD360" s="678"/>
      <c r="AE360" s="694">
        <f t="shared" si="145"/>
        <v>0</v>
      </c>
      <c r="AF360" s="695">
        <f t="shared" si="155"/>
        <v>0</v>
      </c>
      <c r="AG360" s="696">
        <f t="shared" si="146"/>
        <v>0</v>
      </c>
      <c r="AH360" s="697">
        <f t="shared" si="156"/>
        <v>0</v>
      </c>
      <c r="AI360" s="679"/>
      <c r="AJ360" s="678"/>
      <c r="AK360" s="694">
        <f t="shared" si="147"/>
        <v>0</v>
      </c>
      <c r="AL360" s="698">
        <f t="shared" si="148"/>
        <v>0</v>
      </c>
      <c r="AM360" s="679"/>
      <c r="AN360" s="678"/>
      <c r="AO360" s="679"/>
      <c r="AP360" s="678"/>
      <c r="AQ360" s="679"/>
      <c r="AR360" s="678"/>
      <c r="AS360" s="679"/>
      <c r="AT360" s="678"/>
      <c r="AU360" s="699">
        <f t="shared" si="151"/>
        <v>0</v>
      </c>
      <c r="AV360" s="695">
        <f t="shared" si="158"/>
        <v>0</v>
      </c>
      <c r="AW360" s="696">
        <f t="shared" si="152"/>
        <v>0</v>
      </c>
      <c r="AX360" s="697">
        <f t="shared" si="153"/>
        <v>0</v>
      </c>
      <c r="AY360" s="700">
        <f t="shared" si="149"/>
        <v>4521</v>
      </c>
      <c r="AZ360" s="697">
        <f t="shared" si="150"/>
        <v>4888</v>
      </c>
      <c r="BA360" s="680"/>
    </row>
    <row r="361" spans="1:53">
      <c r="A361" s="522" t="s">
        <v>532</v>
      </c>
      <c r="B361" s="523" t="s">
        <v>557</v>
      </c>
      <c r="C361" s="524">
        <v>198817</v>
      </c>
      <c r="D361" s="271">
        <v>9</v>
      </c>
      <c r="E361" s="148" t="s">
        <v>393</v>
      </c>
      <c r="F361" s="525" t="s">
        <v>393</v>
      </c>
      <c r="G361" s="679"/>
      <c r="H361" s="678"/>
      <c r="I361" s="679">
        <v>47910</v>
      </c>
      <c r="J361" s="704">
        <v>53430</v>
      </c>
      <c r="K361" s="679">
        <v>17970</v>
      </c>
      <c r="L361" s="704">
        <v>20070</v>
      </c>
      <c r="M361" s="679">
        <v>50040</v>
      </c>
      <c r="N361" s="704">
        <v>59160</v>
      </c>
      <c r="O361" s="694">
        <f t="shared" si="141"/>
        <v>115920</v>
      </c>
      <c r="P361" s="695">
        <f t="shared" si="157"/>
        <v>3864</v>
      </c>
      <c r="Q361" s="696">
        <f t="shared" si="142"/>
        <v>132660</v>
      </c>
      <c r="R361" s="697">
        <f t="shared" si="154"/>
        <v>4422</v>
      </c>
      <c r="S361" s="705">
        <v>5747.7</v>
      </c>
      <c r="T361" s="704">
        <v>8065.1999999999989</v>
      </c>
      <c r="U361" s="694">
        <f t="shared" si="143"/>
        <v>115920</v>
      </c>
      <c r="V361" s="698">
        <f t="shared" si="144"/>
        <v>132660</v>
      </c>
      <c r="W361" s="679"/>
      <c r="X361" s="678"/>
      <c r="Y361" s="679"/>
      <c r="Z361" s="678"/>
      <c r="AA361" s="679"/>
      <c r="AB361" s="678"/>
      <c r="AC361" s="679"/>
      <c r="AD361" s="678"/>
      <c r="AE361" s="694">
        <f t="shared" si="145"/>
        <v>0</v>
      </c>
      <c r="AF361" s="695">
        <f t="shared" si="155"/>
        <v>0</v>
      </c>
      <c r="AG361" s="696">
        <f t="shared" si="146"/>
        <v>0</v>
      </c>
      <c r="AH361" s="697">
        <f t="shared" si="156"/>
        <v>0</v>
      </c>
      <c r="AI361" s="679"/>
      <c r="AJ361" s="678"/>
      <c r="AK361" s="694">
        <f t="shared" si="147"/>
        <v>0</v>
      </c>
      <c r="AL361" s="698">
        <f t="shared" si="148"/>
        <v>0</v>
      </c>
      <c r="AM361" s="679"/>
      <c r="AN361" s="678"/>
      <c r="AO361" s="679"/>
      <c r="AP361" s="678"/>
      <c r="AQ361" s="679"/>
      <c r="AR361" s="678"/>
      <c r="AS361" s="679"/>
      <c r="AT361" s="678"/>
      <c r="AU361" s="699">
        <f t="shared" si="151"/>
        <v>0</v>
      </c>
      <c r="AV361" s="695">
        <f t="shared" si="158"/>
        <v>0</v>
      </c>
      <c r="AW361" s="696">
        <f t="shared" si="152"/>
        <v>0</v>
      </c>
      <c r="AX361" s="697">
        <f t="shared" si="153"/>
        <v>0</v>
      </c>
      <c r="AY361" s="700">
        <f t="shared" si="149"/>
        <v>3864</v>
      </c>
      <c r="AZ361" s="697">
        <f t="shared" si="150"/>
        <v>4422</v>
      </c>
      <c r="BA361" s="680"/>
    </row>
    <row r="362" spans="1:53">
      <c r="A362" s="526" t="s">
        <v>532</v>
      </c>
      <c r="B362" s="523" t="s">
        <v>583</v>
      </c>
      <c r="C362" s="524">
        <v>198914</v>
      </c>
      <c r="D362" s="271">
        <v>9</v>
      </c>
      <c r="E362" s="148" t="s">
        <v>393</v>
      </c>
      <c r="F362" s="525" t="s">
        <v>393</v>
      </c>
      <c r="G362" s="679"/>
      <c r="H362" s="678"/>
      <c r="I362" s="679">
        <v>26160</v>
      </c>
      <c r="J362" s="704">
        <v>26610</v>
      </c>
      <c r="K362" s="679">
        <v>8550</v>
      </c>
      <c r="L362" s="704">
        <v>10650</v>
      </c>
      <c r="M362" s="679">
        <v>26550</v>
      </c>
      <c r="N362" s="704">
        <v>28230</v>
      </c>
      <c r="O362" s="694">
        <f t="shared" si="141"/>
        <v>61260</v>
      </c>
      <c r="P362" s="695">
        <f t="shared" si="157"/>
        <v>2042</v>
      </c>
      <c r="Q362" s="696">
        <f t="shared" si="142"/>
        <v>65490</v>
      </c>
      <c r="R362" s="697">
        <f t="shared" si="154"/>
        <v>2183</v>
      </c>
      <c r="S362" s="705">
        <v>7874.1</v>
      </c>
      <c r="T362" s="704">
        <v>8694</v>
      </c>
      <c r="U362" s="694">
        <f t="shared" si="143"/>
        <v>61260</v>
      </c>
      <c r="V362" s="698">
        <f t="shared" si="144"/>
        <v>65490</v>
      </c>
      <c r="W362" s="679"/>
      <c r="X362" s="678"/>
      <c r="Y362" s="679"/>
      <c r="Z362" s="678"/>
      <c r="AA362" s="679"/>
      <c r="AB362" s="678"/>
      <c r="AC362" s="679"/>
      <c r="AD362" s="678"/>
      <c r="AE362" s="694">
        <f t="shared" si="145"/>
        <v>0</v>
      </c>
      <c r="AF362" s="695">
        <f t="shared" si="155"/>
        <v>0</v>
      </c>
      <c r="AG362" s="696">
        <f t="shared" si="146"/>
        <v>0</v>
      </c>
      <c r="AH362" s="697">
        <f t="shared" si="156"/>
        <v>0</v>
      </c>
      <c r="AI362" s="679"/>
      <c r="AJ362" s="678"/>
      <c r="AK362" s="694">
        <f t="shared" si="147"/>
        <v>0</v>
      </c>
      <c r="AL362" s="698">
        <f t="shared" si="148"/>
        <v>0</v>
      </c>
      <c r="AM362" s="679"/>
      <c r="AN362" s="678"/>
      <c r="AO362" s="679"/>
      <c r="AP362" s="678"/>
      <c r="AQ362" s="679"/>
      <c r="AR362" s="678"/>
      <c r="AS362" s="679"/>
      <c r="AT362" s="678"/>
      <c r="AU362" s="699">
        <f t="shared" si="151"/>
        <v>0</v>
      </c>
      <c r="AV362" s="695">
        <f t="shared" si="158"/>
        <v>0</v>
      </c>
      <c r="AW362" s="696">
        <f t="shared" si="152"/>
        <v>0</v>
      </c>
      <c r="AX362" s="697">
        <f t="shared" si="153"/>
        <v>0</v>
      </c>
      <c r="AY362" s="700">
        <f t="shared" si="149"/>
        <v>2042</v>
      </c>
      <c r="AZ362" s="697">
        <f t="shared" si="150"/>
        <v>2183</v>
      </c>
      <c r="BA362" s="680"/>
    </row>
    <row r="363" spans="1:53">
      <c r="A363" s="522" t="s">
        <v>532</v>
      </c>
      <c r="B363" s="523" t="s">
        <v>558</v>
      </c>
      <c r="C363" s="524">
        <v>198987</v>
      </c>
      <c r="D363" s="271">
        <v>9</v>
      </c>
      <c r="E363" s="148" t="s">
        <v>393</v>
      </c>
      <c r="F363" s="525" t="s">
        <v>393</v>
      </c>
      <c r="G363" s="679"/>
      <c r="H363" s="678"/>
      <c r="I363" s="679">
        <v>34350</v>
      </c>
      <c r="J363" s="704">
        <v>39090</v>
      </c>
      <c r="K363" s="679">
        <v>9720</v>
      </c>
      <c r="L363" s="704">
        <v>11310</v>
      </c>
      <c r="M363" s="679">
        <v>38970</v>
      </c>
      <c r="N363" s="704">
        <v>48000</v>
      </c>
      <c r="O363" s="694">
        <f t="shared" si="141"/>
        <v>83040</v>
      </c>
      <c r="P363" s="695">
        <f t="shared" si="157"/>
        <v>2768</v>
      </c>
      <c r="Q363" s="696">
        <f t="shared" si="142"/>
        <v>98400</v>
      </c>
      <c r="R363" s="697">
        <f t="shared" si="154"/>
        <v>3280</v>
      </c>
      <c r="S363" s="705">
        <v>3297.2999999999997</v>
      </c>
      <c r="T363" s="704">
        <v>5328.9</v>
      </c>
      <c r="U363" s="694">
        <f t="shared" si="143"/>
        <v>83040</v>
      </c>
      <c r="V363" s="698">
        <f t="shared" si="144"/>
        <v>98400</v>
      </c>
      <c r="W363" s="679"/>
      <c r="X363" s="678"/>
      <c r="Y363" s="679"/>
      <c r="Z363" s="678"/>
      <c r="AA363" s="679"/>
      <c r="AB363" s="678"/>
      <c r="AC363" s="679"/>
      <c r="AD363" s="678"/>
      <c r="AE363" s="694">
        <f t="shared" si="145"/>
        <v>0</v>
      </c>
      <c r="AF363" s="695">
        <f t="shared" si="155"/>
        <v>0</v>
      </c>
      <c r="AG363" s="696">
        <f t="shared" si="146"/>
        <v>0</v>
      </c>
      <c r="AH363" s="697">
        <f t="shared" si="156"/>
        <v>0</v>
      </c>
      <c r="AI363" s="679"/>
      <c r="AJ363" s="678"/>
      <c r="AK363" s="694">
        <f t="shared" si="147"/>
        <v>0</v>
      </c>
      <c r="AL363" s="698">
        <f t="shared" si="148"/>
        <v>0</v>
      </c>
      <c r="AM363" s="679"/>
      <c r="AN363" s="678"/>
      <c r="AO363" s="679"/>
      <c r="AP363" s="678"/>
      <c r="AQ363" s="679"/>
      <c r="AR363" s="678"/>
      <c r="AS363" s="679"/>
      <c r="AT363" s="678"/>
      <c r="AU363" s="699">
        <f t="shared" si="151"/>
        <v>0</v>
      </c>
      <c r="AV363" s="695">
        <f t="shared" si="158"/>
        <v>0</v>
      </c>
      <c r="AW363" s="696">
        <f t="shared" si="152"/>
        <v>0</v>
      </c>
      <c r="AX363" s="697">
        <f t="shared" si="153"/>
        <v>0</v>
      </c>
      <c r="AY363" s="700">
        <f t="shared" si="149"/>
        <v>2768</v>
      </c>
      <c r="AZ363" s="697">
        <f t="shared" si="150"/>
        <v>3280</v>
      </c>
      <c r="BA363" s="680"/>
    </row>
    <row r="364" spans="1:53">
      <c r="A364" s="522" t="s">
        <v>532</v>
      </c>
      <c r="B364" s="523" t="s">
        <v>559</v>
      </c>
      <c r="C364" s="524">
        <v>199087</v>
      </c>
      <c r="D364" s="271">
        <v>9</v>
      </c>
      <c r="E364" s="148" t="s">
        <v>393</v>
      </c>
      <c r="F364" s="525" t="s">
        <v>393</v>
      </c>
      <c r="G364" s="679"/>
      <c r="H364" s="678"/>
      <c r="I364" s="679">
        <v>35790</v>
      </c>
      <c r="J364" s="704">
        <v>36030</v>
      </c>
      <c r="K364" s="679">
        <v>8700</v>
      </c>
      <c r="L364" s="704">
        <v>10080</v>
      </c>
      <c r="M364" s="679">
        <v>38610</v>
      </c>
      <c r="N364" s="704">
        <v>43380</v>
      </c>
      <c r="O364" s="694">
        <f t="shared" si="141"/>
        <v>83100</v>
      </c>
      <c r="P364" s="695">
        <f t="shared" si="157"/>
        <v>2770</v>
      </c>
      <c r="Q364" s="696">
        <f t="shared" si="142"/>
        <v>89490</v>
      </c>
      <c r="R364" s="697">
        <f t="shared" si="154"/>
        <v>2983</v>
      </c>
      <c r="S364" s="705">
        <v>6628.2</v>
      </c>
      <c r="T364" s="704">
        <v>6581.7</v>
      </c>
      <c r="U364" s="694">
        <f t="shared" si="143"/>
        <v>83100</v>
      </c>
      <c r="V364" s="698">
        <f t="shared" si="144"/>
        <v>89490</v>
      </c>
      <c r="W364" s="679"/>
      <c r="X364" s="678"/>
      <c r="Y364" s="679"/>
      <c r="Z364" s="678"/>
      <c r="AA364" s="679"/>
      <c r="AB364" s="678"/>
      <c r="AC364" s="679"/>
      <c r="AD364" s="678"/>
      <c r="AE364" s="694">
        <f t="shared" si="145"/>
        <v>0</v>
      </c>
      <c r="AF364" s="695">
        <f t="shared" si="155"/>
        <v>0</v>
      </c>
      <c r="AG364" s="696">
        <f t="shared" si="146"/>
        <v>0</v>
      </c>
      <c r="AH364" s="697">
        <f t="shared" si="156"/>
        <v>0</v>
      </c>
      <c r="AI364" s="679"/>
      <c r="AJ364" s="678"/>
      <c r="AK364" s="694">
        <f t="shared" si="147"/>
        <v>0</v>
      </c>
      <c r="AL364" s="698">
        <f t="shared" si="148"/>
        <v>0</v>
      </c>
      <c r="AM364" s="679"/>
      <c r="AN364" s="678"/>
      <c r="AO364" s="679"/>
      <c r="AP364" s="678"/>
      <c r="AQ364" s="679"/>
      <c r="AR364" s="678"/>
      <c r="AS364" s="679"/>
      <c r="AT364" s="678"/>
      <c r="AU364" s="699">
        <f t="shared" si="151"/>
        <v>0</v>
      </c>
      <c r="AV364" s="695">
        <f t="shared" si="158"/>
        <v>0</v>
      </c>
      <c r="AW364" s="696">
        <f t="shared" si="152"/>
        <v>0</v>
      </c>
      <c r="AX364" s="697">
        <f t="shared" si="153"/>
        <v>0</v>
      </c>
      <c r="AY364" s="700">
        <f t="shared" si="149"/>
        <v>2770</v>
      </c>
      <c r="AZ364" s="697">
        <f t="shared" si="150"/>
        <v>2983</v>
      </c>
      <c r="BA364" s="680"/>
    </row>
    <row r="365" spans="1:53">
      <c r="A365" s="522" t="s">
        <v>532</v>
      </c>
      <c r="B365" s="523" t="s">
        <v>560</v>
      </c>
      <c r="C365" s="524">
        <v>199324</v>
      </c>
      <c r="D365" s="271">
        <v>9</v>
      </c>
      <c r="E365" s="148" t="s">
        <v>393</v>
      </c>
      <c r="F365" s="525" t="s">
        <v>393</v>
      </c>
      <c r="G365" s="679"/>
      <c r="H365" s="678"/>
      <c r="I365" s="679">
        <v>37890</v>
      </c>
      <c r="J365" s="704">
        <v>40620</v>
      </c>
      <c r="K365" s="679">
        <v>8850</v>
      </c>
      <c r="L365" s="704">
        <v>9270</v>
      </c>
      <c r="M365" s="679">
        <v>39900</v>
      </c>
      <c r="N365" s="704">
        <v>44130</v>
      </c>
      <c r="O365" s="694">
        <f t="shared" si="141"/>
        <v>86640</v>
      </c>
      <c r="P365" s="695">
        <f t="shared" si="157"/>
        <v>2888</v>
      </c>
      <c r="Q365" s="696">
        <f t="shared" si="142"/>
        <v>94020</v>
      </c>
      <c r="R365" s="697">
        <f t="shared" si="154"/>
        <v>3134</v>
      </c>
      <c r="S365" s="705">
        <v>14601.6</v>
      </c>
      <c r="T365" s="704">
        <v>13070.1</v>
      </c>
      <c r="U365" s="694">
        <f t="shared" si="143"/>
        <v>86640</v>
      </c>
      <c r="V365" s="698">
        <f t="shared" si="144"/>
        <v>94020</v>
      </c>
      <c r="W365" s="679"/>
      <c r="X365" s="678"/>
      <c r="Y365" s="679"/>
      <c r="Z365" s="678"/>
      <c r="AA365" s="679"/>
      <c r="AB365" s="678"/>
      <c r="AC365" s="679"/>
      <c r="AD365" s="678"/>
      <c r="AE365" s="694">
        <f t="shared" si="145"/>
        <v>0</v>
      </c>
      <c r="AF365" s="695">
        <f t="shared" si="155"/>
        <v>0</v>
      </c>
      <c r="AG365" s="696">
        <f t="shared" si="146"/>
        <v>0</v>
      </c>
      <c r="AH365" s="697">
        <f t="shared" si="156"/>
        <v>0</v>
      </c>
      <c r="AI365" s="679"/>
      <c r="AJ365" s="678"/>
      <c r="AK365" s="694">
        <f t="shared" si="147"/>
        <v>0</v>
      </c>
      <c r="AL365" s="698">
        <f t="shared" si="148"/>
        <v>0</v>
      </c>
      <c r="AM365" s="679"/>
      <c r="AN365" s="678"/>
      <c r="AO365" s="679"/>
      <c r="AP365" s="678"/>
      <c r="AQ365" s="679"/>
      <c r="AR365" s="678"/>
      <c r="AS365" s="679"/>
      <c r="AT365" s="678"/>
      <c r="AU365" s="699">
        <f t="shared" si="151"/>
        <v>0</v>
      </c>
      <c r="AV365" s="695">
        <f t="shared" si="158"/>
        <v>0</v>
      </c>
      <c r="AW365" s="696">
        <f t="shared" si="152"/>
        <v>0</v>
      </c>
      <c r="AX365" s="697">
        <f t="shared" si="153"/>
        <v>0</v>
      </c>
      <c r="AY365" s="700">
        <f t="shared" si="149"/>
        <v>2888</v>
      </c>
      <c r="AZ365" s="697">
        <f t="shared" si="150"/>
        <v>3134</v>
      </c>
      <c r="BA365" s="680"/>
    </row>
    <row r="366" spans="1:53">
      <c r="A366" s="522" t="s">
        <v>532</v>
      </c>
      <c r="B366" s="523" t="s">
        <v>561</v>
      </c>
      <c r="C366" s="524">
        <v>199421</v>
      </c>
      <c r="D366" s="271">
        <v>9</v>
      </c>
      <c r="E366" s="148" t="s">
        <v>393</v>
      </c>
      <c r="F366" s="525" t="s">
        <v>393</v>
      </c>
      <c r="G366" s="679"/>
      <c r="H366" s="678"/>
      <c r="I366" s="679">
        <v>33210</v>
      </c>
      <c r="J366" s="704">
        <v>37230</v>
      </c>
      <c r="K366" s="679">
        <v>13980</v>
      </c>
      <c r="L366" s="704">
        <v>14190</v>
      </c>
      <c r="M366" s="679">
        <v>36690</v>
      </c>
      <c r="N366" s="704">
        <v>41790</v>
      </c>
      <c r="O366" s="694">
        <f t="shared" si="141"/>
        <v>83880</v>
      </c>
      <c r="P366" s="695">
        <f t="shared" si="157"/>
        <v>2796</v>
      </c>
      <c r="Q366" s="696">
        <f t="shared" si="142"/>
        <v>93210</v>
      </c>
      <c r="R366" s="697">
        <f t="shared" si="154"/>
        <v>3107</v>
      </c>
      <c r="S366" s="705">
        <v>5223.8999999999996</v>
      </c>
      <c r="T366" s="704">
        <v>6624.3</v>
      </c>
      <c r="U366" s="694">
        <f t="shared" si="143"/>
        <v>83880</v>
      </c>
      <c r="V366" s="698">
        <f t="shared" si="144"/>
        <v>93210</v>
      </c>
      <c r="W366" s="679"/>
      <c r="X366" s="678"/>
      <c r="Y366" s="679"/>
      <c r="Z366" s="678"/>
      <c r="AA366" s="679"/>
      <c r="AB366" s="678"/>
      <c r="AC366" s="679"/>
      <c r="AD366" s="678"/>
      <c r="AE366" s="694">
        <f t="shared" si="145"/>
        <v>0</v>
      </c>
      <c r="AF366" s="695">
        <f t="shared" si="155"/>
        <v>0</v>
      </c>
      <c r="AG366" s="696">
        <f t="shared" si="146"/>
        <v>0</v>
      </c>
      <c r="AH366" s="697">
        <f t="shared" si="156"/>
        <v>0</v>
      </c>
      <c r="AI366" s="679"/>
      <c r="AJ366" s="678"/>
      <c r="AK366" s="694">
        <f t="shared" si="147"/>
        <v>0</v>
      </c>
      <c r="AL366" s="698">
        <f t="shared" si="148"/>
        <v>0</v>
      </c>
      <c r="AM366" s="679"/>
      <c r="AN366" s="678"/>
      <c r="AO366" s="679"/>
      <c r="AP366" s="678"/>
      <c r="AQ366" s="679"/>
      <c r="AR366" s="678"/>
      <c r="AS366" s="679"/>
      <c r="AT366" s="678"/>
      <c r="AU366" s="699">
        <f t="shared" si="151"/>
        <v>0</v>
      </c>
      <c r="AV366" s="695">
        <f t="shared" si="158"/>
        <v>0</v>
      </c>
      <c r="AW366" s="696">
        <f t="shared" si="152"/>
        <v>0</v>
      </c>
      <c r="AX366" s="697">
        <f t="shared" si="153"/>
        <v>0</v>
      </c>
      <c r="AY366" s="700">
        <f t="shared" si="149"/>
        <v>2796</v>
      </c>
      <c r="AZ366" s="697">
        <f t="shared" si="150"/>
        <v>3107</v>
      </c>
      <c r="BA366" s="680"/>
    </row>
    <row r="367" spans="1:53">
      <c r="A367" s="522" t="s">
        <v>532</v>
      </c>
      <c r="B367" s="523" t="s">
        <v>562</v>
      </c>
      <c r="C367" s="524">
        <v>199449</v>
      </c>
      <c r="D367" s="271">
        <v>9</v>
      </c>
      <c r="E367" s="148" t="s">
        <v>393</v>
      </c>
      <c r="F367" s="525" t="s">
        <v>393</v>
      </c>
      <c r="G367" s="679"/>
      <c r="H367" s="678"/>
      <c r="I367" s="679">
        <v>28410</v>
      </c>
      <c r="J367" s="704">
        <v>28920</v>
      </c>
      <c r="K367" s="679">
        <v>9960</v>
      </c>
      <c r="L367" s="704">
        <v>11040</v>
      </c>
      <c r="M367" s="679">
        <v>29580</v>
      </c>
      <c r="N367" s="704">
        <v>33480</v>
      </c>
      <c r="O367" s="694">
        <f t="shared" si="141"/>
        <v>67950</v>
      </c>
      <c r="P367" s="695">
        <f t="shared" si="157"/>
        <v>2265</v>
      </c>
      <c r="Q367" s="696">
        <f t="shared" si="142"/>
        <v>73440</v>
      </c>
      <c r="R367" s="697">
        <f t="shared" si="154"/>
        <v>2448</v>
      </c>
      <c r="S367" s="705">
        <v>1873.1999999999998</v>
      </c>
      <c r="T367" s="704">
        <v>2317.5</v>
      </c>
      <c r="U367" s="694">
        <f t="shared" si="143"/>
        <v>67950</v>
      </c>
      <c r="V367" s="698">
        <f t="shared" si="144"/>
        <v>73440</v>
      </c>
      <c r="W367" s="679"/>
      <c r="X367" s="678"/>
      <c r="Y367" s="679"/>
      <c r="Z367" s="678"/>
      <c r="AA367" s="679"/>
      <c r="AB367" s="678"/>
      <c r="AC367" s="679"/>
      <c r="AD367" s="678"/>
      <c r="AE367" s="694">
        <f t="shared" si="145"/>
        <v>0</v>
      </c>
      <c r="AF367" s="695">
        <f t="shared" si="155"/>
        <v>0</v>
      </c>
      <c r="AG367" s="696">
        <f t="shared" si="146"/>
        <v>0</v>
      </c>
      <c r="AH367" s="697">
        <f t="shared" si="156"/>
        <v>0</v>
      </c>
      <c r="AI367" s="679"/>
      <c r="AJ367" s="678"/>
      <c r="AK367" s="694">
        <f t="shared" si="147"/>
        <v>0</v>
      </c>
      <c r="AL367" s="698">
        <f t="shared" si="148"/>
        <v>0</v>
      </c>
      <c r="AM367" s="679"/>
      <c r="AN367" s="678"/>
      <c r="AO367" s="679"/>
      <c r="AP367" s="678"/>
      <c r="AQ367" s="679"/>
      <c r="AR367" s="678"/>
      <c r="AS367" s="679"/>
      <c r="AT367" s="678"/>
      <c r="AU367" s="699">
        <f t="shared" si="151"/>
        <v>0</v>
      </c>
      <c r="AV367" s="695">
        <f t="shared" si="158"/>
        <v>0</v>
      </c>
      <c r="AW367" s="696">
        <f t="shared" si="152"/>
        <v>0</v>
      </c>
      <c r="AX367" s="697">
        <f t="shared" si="153"/>
        <v>0</v>
      </c>
      <c r="AY367" s="700">
        <f t="shared" si="149"/>
        <v>2265</v>
      </c>
      <c r="AZ367" s="697">
        <f t="shared" si="150"/>
        <v>2448</v>
      </c>
      <c r="BA367" s="680"/>
    </row>
    <row r="368" spans="1:53">
      <c r="A368" s="522" t="s">
        <v>532</v>
      </c>
      <c r="B368" s="523" t="s">
        <v>563</v>
      </c>
      <c r="C368" s="524">
        <v>199476</v>
      </c>
      <c r="D368" s="271">
        <v>9</v>
      </c>
      <c r="E368" s="148" t="s">
        <v>393</v>
      </c>
      <c r="F368" s="525" t="s">
        <v>393</v>
      </c>
      <c r="G368" s="679"/>
      <c r="H368" s="678"/>
      <c r="I368" s="679">
        <v>47250</v>
      </c>
      <c r="J368" s="704">
        <v>50850</v>
      </c>
      <c r="K368" s="679">
        <v>18420</v>
      </c>
      <c r="L368" s="704">
        <v>19500</v>
      </c>
      <c r="M368" s="679">
        <v>50850</v>
      </c>
      <c r="N368" s="704">
        <v>55650</v>
      </c>
      <c r="O368" s="694">
        <f t="shared" si="141"/>
        <v>116520</v>
      </c>
      <c r="P368" s="695">
        <f t="shared" si="157"/>
        <v>3884</v>
      </c>
      <c r="Q368" s="696">
        <f t="shared" si="142"/>
        <v>126000</v>
      </c>
      <c r="R368" s="697">
        <f t="shared" si="154"/>
        <v>4200</v>
      </c>
      <c r="S368" s="705">
        <v>2274.3000000000002</v>
      </c>
      <c r="T368" s="704">
        <v>3126.6</v>
      </c>
      <c r="U368" s="694">
        <f t="shared" si="143"/>
        <v>116520</v>
      </c>
      <c r="V368" s="698">
        <f t="shared" si="144"/>
        <v>126000</v>
      </c>
      <c r="W368" s="679"/>
      <c r="X368" s="678"/>
      <c r="Y368" s="679"/>
      <c r="Z368" s="678"/>
      <c r="AA368" s="679"/>
      <c r="AB368" s="678"/>
      <c r="AC368" s="679"/>
      <c r="AD368" s="678"/>
      <c r="AE368" s="694">
        <f t="shared" si="145"/>
        <v>0</v>
      </c>
      <c r="AF368" s="695">
        <f t="shared" si="155"/>
        <v>0</v>
      </c>
      <c r="AG368" s="696">
        <f t="shared" si="146"/>
        <v>0</v>
      </c>
      <c r="AH368" s="697">
        <f t="shared" si="156"/>
        <v>0</v>
      </c>
      <c r="AI368" s="679"/>
      <c r="AJ368" s="678"/>
      <c r="AK368" s="694">
        <f t="shared" si="147"/>
        <v>0</v>
      </c>
      <c r="AL368" s="698">
        <f t="shared" si="148"/>
        <v>0</v>
      </c>
      <c r="AM368" s="679"/>
      <c r="AN368" s="678"/>
      <c r="AO368" s="679"/>
      <c r="AP368" s="678"/>
      <c r="AQ368" s="679"/>
      <c r="AR368" s="678"/>
      <c r="AS368" s="679"/>
      <c r="AT368" s="678"/>
      <c r="AU368" s="699">
        <f t="shared" si="151"/>
        <v>0</v>
      </c>
      <c r="AV368" s="695">
        <f t="shared" si="158"/>
        <v>0</v>
      </c>
      <c r="AW368" s="696">
        <f t="shared" si="152"/>
        <v>0</v>
      </c>
      <c r="AX368" s="697">
        <f t="shared" si="153"/>
        <v>0</v>
      </c>
      <c r="AY368" s="700">
        <f t="shared" si="149"/>
        <v>3884</v>
      </c>
      <c r="AZ368" s="697">
        <f t="shared" si="150"/>
        <v>4200</v>
      </c>
      <c r="BA368" s="680"/>
    </row>
    <row r="369" spans="1:53">
      <c r="A369" s="522" t="s">
        <v>532</v>
      </c>
      <c r="B369" s="523" t="s">
        <v>564</v>
      </c>
      <c r="C369" s="524">
        <v>199485</v>
      </c>
      <c r="D369" s="271">
        <v>9</v>
      </c>
      <c r="E369" s="148" t="s">
        <v>393</v>
      </c>
      <c r="F369" s="525" t="s">
        <v>393</v>
      </c>
      <c r="G369" s="679"/>
      <c r="H369" s="678"/>
      <c r="I369" s="679">
        <v>27180</v>
      </c>
      <c r="J369" s="704">
        <v>30630</v>
      </c>
      <c r="K369" s="679">
        <v>9120</v>
      </c>
      <c r="L369" s="704">
        <v>10380</v>
      </c>
      <c r="M369" s="679">
        <v>30870</v>
      </c>
      <c r="N369" s="704">
        <v>36600</v>
      </c>
      <c r="O369" s="694">
        <f t="shared" si="141"/>
        <v>67170</v>
      </c>
      <c r="P369" s="695">
        <f t="shared" si="157"/>
        <v>2239</v>
      </c>
      <c r="Q369" s="696">
        <f t="shared" si="142"/>
        <v>77610</v>
      </c>
      <c r="R369" s="697">
        <f t="shared" si="154"/>
        <v>2587</v>
      </c>
      <c r="S369" s="705">
        <v>1245</v>
      </c>
      <c r="T369" s="704">
        <v>1560</v>
      </c>
      <c r="U369" s="694">
        <f t="shared" si="143"/>
        <v>67170</v>
      </c>
      <c r="V369" s="698">
        <f t="shared" si="144"/>
        <v>77610</v>
      </c>
      <c r="W369" s="679"/>
      <c r="X369" s="678"/>
      <c r="Y369" s="679"/>
      <c r="Z369" s="678"/>
      <c r="AA369" s="679"/>
      <c r="AB369" s="678"/>
      <c r="AC369" s="679"/>
      <c r="AD369" s="678"/>
      <c r="AE369" s="694">
        <f t="shared" si="145"/>
        <v>0</v>
      </c>
      <c r="AF369" s="695">
        <f t="shared" si="155"/>
        <v>0</v>
      </c>
      <c r="AG369" s="696">
        <f t="shared" si="146"/>
        <v>0</v>
      </c>
      <c r="AH369" s="697">
        <f t="shared" si="156"/>
        <v>0</v>
      </c>
      <c r="AI369" s="679"/>
      <c r="AJ369" s="678"/>
      <c r="AK369" s="694">
        <f t="shared" si="147"/>
        <v>0</v>
      </c>
      <c r="AL369" s="698">
        <f t="shared" si="148"/>
        <v>0</v>
      </c>
      <c r="AM369" s="679"/>
      <c r="AN369" s="678"/>
      <c r="AO369" s="679"/>
      <c r="AP369" s="678"/>
      <c r="AQ369" s="679"/>
      <c r="AR369" s="678"/>
      <c r="AS369" s="679"/>
      <c r="AT369" s="678"/>
      <c r="AU369" s="699">
        <f t="shared" si="151"/>
        <v>0</v>
      </c>
      <c r="AV369" s="695">
        <f t="shared" si="158"/>
        <v>0</v>
      </c>
      <c r="AW369" s="696">
        <f t="shared" si="152"/>
        <v>0</v>
      </c>
      <c r="AX369" s="697">
        <f t="shared" si="153"/>
        <v>0</v>
      </c>
      <c r="AY369" s="700">
        <f t="shared" si="149"/>
        <v>2239</v>
      </c>
      <c r="AZ369" s="697">
        <f t="shared" si="150"/>
        <v>2587</v>
      </c>
      <c r="BA369" s="680"/>
    </row>
    <row r="370" spans="1:53">
      <c r="A370" s="522" t="s">
        <v>532</v>
      </c>
      <c r="B370" s="523" t="s">
        <v>566</v>
      </c>
      <c r="C370" s="524">
        <v>199634</v>
      </c>
      <c r="D370" s="271">
        <v>9</v>
      </c>
      <c r="E370" s="148" t="s">
        <v>393</v>
      </c>
      <c r="F370" s="525" t="s">
        <v>393</v>
      </c>
      <c r="G370" s="679"/>
      <c r="H370" s="678"/>
      <c r="I370" s="679">
        <v>52860</v>
      </c>
      <c r="J370" s="704">
        <v>57420</v>
      </c>
      <c r="K370" s="679">
        <v>16230</v>
      </c>
      <c r="L370" s="704">
        <v>20100</v>
      </c>
      <c r="M370" s="679">
        <v>55950</v>
      </c>
      <c r="N370" s="704">
        <v>60150</v>
      </c>
      <c r="O370" s="694">
        <f t="shared" ref="O370:O433" si="159">SUM(G370,I370,K370,M370)</f>
        <v>125040</v>
      </c>
      <c r="P370" s="695">
        <f t="shared" si="157"/>
        <v>4168</v>
      </c>
      <c r="Q370" s="696">
        <f t="shared" ref="Q370:Q433" si="160">SUM(H370,J370,L370,N370)</f>
        <v>137670</v>
      </c>
      <c r="R370" s="697">
        <f t="shared" si="154"/>
        <v>4589</v>
      </c>
      <c r="S370" s="705">
        <v>6114.3</v>
      </c>
      <c r="T370" s="704">
        <v>4557.3</v>
      </c>
      <c r="U370" s="694">
        <f t="shared" ref="U370:U433" si="161">IF(OR(ISBLANK(S370),(S370="—")),0,O370)</f>
        <v>125040</v>
      </c>
      <c r="V370" s="698">
        <f t="shared" ref="V370:V433" si="162">IF(OR(ISBLANK(T370),(T370="—")),0,Q370)</f>
        <v>137670</v>
      </c>
      <c r="W370" s="679"/>
      <c r="X370" s="678"/>
      <c r="Y370" s="679"/>
      <c r="Z370" s="678"/>
      <c r="AA370" s="679"/>
      <c r="AB370" s="678"/>
      <c r="AC370" s="679"/>
      <c r="AD370" s="678"/>
      <c r="AE370" s="694">
        <f t="shared" ref="AE370:AE433" si="163">SUM(W370,Y370,AA370,AC370)</f>
        <v>0</v>
      </c>
      <c r="AF370" s="695">
        <f t="shared" si="155"/>
        <v>0</v>
      </c>
      <c r="AG370" s="696">
        <f t="shared" ref="AG370:AG433" si="164">SUM(X370,Z370,AB370,AD370)</f>
        <v>0</v>
      </c>
      <c r="AH370" s="697">
        <f t="shared" si="156"/>
        <v>0</v>
      </c>
      <c r="AI370" s="679"/>
      <c r="AJ370" s="678"/>
      <c r="AK370" s="694">
        <f t="shared" ref="AK370:AK433" si="165">IF(OR(ISBLANK(AI370),(AI370="—")),0,AE370)</f>
        <v>0</v>
      </c>
      <c r="AL370" s="698">
        <f t="shared" ref="AL370:AL433" si="166">IF(OR(ISBLANK(AJ370),(AJ370="—")),0,AG370)</f>
        <v>0</v>
      </c>
      <c r="AM370" s="679"/>
      <c r="AN370" s="678"/>
      <c r="AO370" s="679"/>
      <c r="AP370" s="678"/>
      <c r="AQ370" s="679"/>
      <c r="AR370" s="678"/>
      <c r="AS370" s="679"/>
      <c r="AT370" s="678"/>
      <c r="AU370" s="699">
        <f t="shared" si="151"/>
        <v>0</v>
      </c>
      <c r="AV370" s="695">
        <f t="shared" si="158"/>
        <v>0</v>
      </c>
      <c r="AW370" s="696">
        <f t="shared" si="152"/>
        <v>0</v>
      </c>
      <c r="AX370" s="697">
        <f t="shared" si="153"/>
        <v>0</v>
      </c>
      <c r="AY370" s="700">
        <f t="shared" ref="AY370:AY433" si="167">SUM(P370,AF370,AV370)</f>
        <v>4168</v>
      </c>
      <c r="AZ370" s="697">
        <f t="shared" ref="AZ370:AZ433" si="168">SUM(R370,AH370,AX370)</f>
        <v>4589</v>
      </c>
      <c r="BA370" s="680"/>
    </row>
    <row r="371" spans="1:53">
      <c r="A371" s="522" t="s">
        <v>532</v>
      </c>
      <c r="B371" s="523" t="s">
        <v>567</v>
      </c>
      <c r="C371" s="524">
        <v>197850</v>
      </c>
      <c r="D371" s="271">
        <v>9</v>
      </c>
      <c r="E371" s="148" t="s">
        <v>393</v>
      </c>
      <c r="F371" s="525" t="s">
        <v>393</v>
      </c>
      <c r="G371" s="679"/>
      <c r="H371" s="678"/>
      <c r="I371" s="679">
        <v>31920</v>
      </c>
      <c r="J371" s="704">
        <v>36210</v>
      </c>
      <c r="K371" s="679">
        <v>10200</v>
      </c>
      <c r="L371" s="704">
        <v>11490</v>
      </c>
      <c r="M371" s="679">
        <v>34830</v>
      </c>
      <c r="N371" s="704">
        <v>39810</v>
      </c>
      <c r="O371" s="694">
        <f t="shared" si="159"/>
        <v>76950</v>
      </c>
      <c r="P371" s="695">
        <f t="shared" si="157"/>
        <v>2565</v>
      </c>
      <c r="Q371" s="696">
        <f t="shared" si="160"/>
        <v>87510</v>
      </c>
      <c r="R371" s="697">
        <f t="shared" si="154"/>
        <v>2917</v>
      </c>
      <c r="S371" s="705">
        <v>2728.2</v>
      </c>
      <c r="T371" s="704">
        <v>4458.8999999999996</v>
      </c>
      <c r="U371" s="694">
        <f t="shared" si="161"/>
        <v>76950</v>
      </c>
      <c r="V371" s="698">
        <f t="shared" si="162"/>
        <v>87510</v>
      </c>
      <c r="W371" s="679"/>
      <c r="X371" s="678"/>
      <c r="Y371" s="679"/>
      <c r="Z371" s="678"/>
      <c r="AA371" s="679"/>
      <c r="AB371" s="678"/>
      <c r="AC371" s="679"/>
      <c r="AD371" s="678"/>
      <c r="AE371" s="694">
        <f t="shared" si="163"/>
        <v>0</v>
      </c>
      <c r="AF371" s="695">
        <f t="shared" si="155"/>
        <v>0</v>
      </c>
      <c r="AG371" s="696">
        <f t="shared" si="164"/>
        <v>0</v>
      </c>
      <c r="AH371" s="697">
        <f t="shared" si="156"/>
        <v>0</v>
      </c>
      <c r="AI371" s="679"/>
      <c r="AJ371" s="678"/>
      <c r="AK371" s="694">
        <f t="shared" si="165"/>
        <v>0</v>
      </c>
      <c r="AL371" s="698">
        <f t="shared" si="166"/>
        <v>0</v>
      </c>
      <c r="AM371" s="679"/>
      <c r="AN371" s="678"/>
      <c r="AO371" s="679"/>
      <c r="AP371" s="678"/>
      <c r="AQ371" s="679"/>
      <c r="AR371" s="678"/>
      <c r="AS371" s="679"/>
      <c r="AT371" s="678"/>
      <c r="AU371" s="699">
        <f t="shared" si="151"/>
        <v>0</v>
      </c>
      <c r="AV371" s="695">
        <f t="shared" si="158"/>
        <v>0</v>
      </c>
      <c r="AW371" s="696">
        <f t="shared" si="152"/>
        <v>0</v>
      </c>
      <c r="AX371" s="697">
        <f t="shared" si="153"/>
        <v>0</v>
      </c>
      <c r="AY371" s="700">
        <f t="shared" si="167"/>
        <v>2565</v>
      </c>
      <c r="AZ371" s="697">
        <f t="shared" si="168"/>
        <v>2917</v>
      </c>
      <c r="BA371" s="680"/>
    </row>
    <row r="372" spans="1:53">
      <c r="A372" s="522" t="s">
        <v>532</v>
      </c>
      <c r="B372" s="523" t="s">
        <v>568</v>
      </c>
      <c r="C372" s="524">
        <v>199722</v>
      </c>
      <c r="D372" s="271">
        <v>9</v>
      </c>
      <c r="E372" s="148" t="s">
        <v>393</v>
      </c>
      <c r="F372" s="525" t="s">
        <v>393</v>
      </c>
      <c r="G372" s="679"/>
      <c r="H372" s="678"/>
      <c r="I372" s="679">
        <v>33750</v>
      </c>
      <c r="J372" s="704">
        <v>37470</v>
      </c>
      <c r="K372" s="679">
        <v>10320</v>
      </c>
      <c r="L372" s="704">
        <v>14070</v>
      </c>
      <c r="M372" s="679">
        <v>36210</v>
      </c>
      <c r="N372" s="704">
        <v>41940</v>
      </c>
      <c r="O372" s="694">
        <f t="shared" si="159"/>
        <v>80280</v>
      </c>
      <c r="P372" s="695">
        <f t="shared" si="157"/>
        <v>2676</v>
      </c>
      <c r="Q372" s="696">
        <f t="shared" si="160"/>
        <v>93480</v>
      </c>
      <c r="R372" s="697">
        <f t="shared" si="154"/>
        <v>3116</v>
      </c>
      <c r="S372" s="705">
        <v>4492.7999999999993</v>
      </c>
      <c r="T372" s="704">
        <v>4486.2</v>
      </c>
      <c r="U372" s="694">
        <f t="shared" si="161"/>
        <v>80280</v>
      </c>
      <c r="V372" s="698">
        <f t="shared" si="162"/>
        <v>93480</v>
      </c>
      <c r="W372" s="679"/>
      <c r="X372" s="678"/>
      <c r="Y372" s="679"/>
      <c r="Z372" s="678"/>
      <c r="AA372" s="679"/>
      <c r="AB372" s="678"/>
      <c r="AC372" s="679"/>
      <c r="AD372" s="678"/>
      <c r="AE372" s="694">
        <f t="shared" si="163"/>
        <v>0</v>
      </c>
      <c r="AF372" s="695">
        <f t="shared" si="155"/>
        <v>0</v>
      </c>
      <c r="AG372" s="696">
        <f t="shared" si="164"/>
        <v>0</v>
      </c>
      <c r="AH372" s="697">
        <f t="shared" si="156"/>
        <v>0</v>
      </c>
      <c r="AI372" s="679"/>
      <c r="AJ372" s="678"/>
      <c r="AK372" s="694">
        <f t="shared" si="165"/>
        <v>0</v>
      </c>
      <c r="AL372" s="698">
        <f t="shared" si="166"/>
        <v>0</v>
      </c>
      <c r="AM372" s="679"/>
      <c r="AN372" s="678"/>
      <c r="AO372" s="679"/>
      <c r="AP372" s="678"/>
      <c r="AQ372" s="679"/>
      <c r="AR372" s="678"/>
      <c r="AS372" s="679"/>
      <c r="AT372" s="678"/>
      <c r="AU372" s="699">
        <f t="shared" si="151"/>
        <v>0</v>
      </c>
      <c r="AV372" s="695">
        <f t="shared" si="158"/>
        <v>0</v>
      </c>
      <c r="AW372" s="696">
        <f t="shared" si="152"/>
        <v>0</v>
      </c>
      <c r="AX372" s="697">
        <f t="shared" si="153"/>
        <v>0</v>
      </c>
      <c r="AY372" s="700">
        <f t="shared" si="167"/>
        <v>2676</v>
      </c>
      <c r="AZ372" s="697">
        <f t="shared" si="168"/>
        <v>3116</v>
      </c>
      <c r="BA372" s="680"/>
    </row>
    <row r="373" spans="1:53">
      <c r="A373" s="522" t="s">
        <v>532</v>
      </c>
      <c r="B373" s="523" t="s">
        <v>569</v>
      </c>
      <c r="C373" s="524">
        <v>199731</v>
      </c>
      <c r="D373" s="271">
        <v>9</v>
      </c>
      <c r="E373" s="148" t="s">
        <v>393</v>
      </c>
      <c r="F373" s="525" t="s">
        <v>393</v>
      </c>
      <c r="G373" s="679"/>
      <c r="H373" s="678"/>
      <c r="I373" s="679">
        <v>31800</v>
      </c>
      <c r="J373" s="704">
        <v>35460</v>
      </c>
      <c r="K373" s="679">
        <v>10020</v>
      </c>
      <c r="L373" s="704">
        <v>11790</v>
      </c>
      <c r="M373" s="679">
        <v>35790</v>
      </c>
      <c r="N373" s="704">
        <v>37440</v>
      </c>
      <c r="O373" s="694">
        <f t="shared" si="159"/>
        <v>77610</v>
      </c>
      <c r="P373" s="695">
        <f t="shared" si="157"/>
        <v>2587</v>
      </c>
      <c r="Q373" s="696">
        <f t="shared" si="160"/>
        <v>84690</v>
      </c>
      <c r="R373" s="697">
        <f t="shared" si="154"/>
        <v>2823</v>
      </c>
      <c r="S373" s="705">
        <v>6205.2</v>
      </c>
      <c r="T373" s="704">
        <v>7422.3</v>
      </c>
      <c r="U373" s="694">
        <f t="shared" si="161"/>
        <v>77610</v>
      </c>
      <c r="V373" s="698">
        <f t="shared" si="162"/>
        <v>84690</v>
      </c>
      <c r="W373" s="679"/>
      <c r="X373" s="678"/>
      <c r="Y373" s="679"/>
      <c r="Z373" s="678"/>
      <c r="AA373" s="679"/>
      <c r="AB373" s="678"/>
      <c r="AC373" s="679"/>
      <c r="AD373" s="678"/>
      <c r="AE373" s="694">
        <f t="shared" si="163"/>
        <v>0</v>
      </c>
      <c r="AF373" s="695">
        <f t="shared" si="155"/>
        <v>0</v>
      </c>
      <c r="AG373" s="696">
        <f t="shared" si="164"/>
        <v>0</v>
      </c>
      <c r="AH373" s="697">
        <f t="shared" si="156"/>
        <v>0</v>
      </c>
      <c r="AI373" s="679"/>
      <c r="AJ373" s="678"/>
      <c r="AK373" s="694">
        <f t="shared" si="165"/>
        <v>0</v>
      </c>
      <c r="AL373" s="698">
        <f t="shared" si="166"/>
        <v>0</v>
      </c>
      <c r="AM373" s="679"/>
      <c r="AN373" s="678"/>
      <c r="AO373" s="679"/>
      <c r="AP373" s="678"/>
      <c r="AQ373" s="679"/>
      <c r="AR373" s="678"/>
      <c r="AS373" s="679"/>
      <c r="AT373" s="678"/>
      <c r="AU373" s="699">
        <f t="shared" si="151"/>
        <v>0</v>
      </c>
      <c r="AV373" s="695">
        <f t="shared" si="158"/>
        <v>0</v>
      </c>
      <c r="AW373" s="696">
        <f t="shared" si="152"/>
        <v>0</v>
      </c>
      <c r="AX373" s="697">
        <f t="shared" si="153"/>
        <v>0</v>
      </c>
      <c r="AY373" s="700">
        <f t="shared" si="167"/>
        <v>2587</v>
      </c>
      <c r="AZ373" s="697">
        <f t="shared" si="168"/>
        <v>2823</v>
      </c>
      <c r="BA373" s="680"/>
    </row>
    <row r="374" spans="1:53">
      <c r="A374" s="522" t="s">
        <v>532</v>
      </c>
      <c r="B374" s="523" t="s">
        <v>570</v>
      </c>
      <c r="C374" s="524">
        <v>199740</v>
      </c>
      <c r="D374" s="271">
        <v>9</v>
      </c>
      <c r="E374" s="148" t="s">
        <v>393</v>
      </c>
      <c r="F374" s="525" t="s">
        <v>393</v>
      </c>
      <c r="G374" s="679"/>
      <c r="H374" s="678"/>
      <c r="I374" s="679">
        <v>33600</v>
      </c>
      <c r="J374" s="704">
        <v>37890</v>
      </c>
      <c r="K374" s="679">
        <v>12390</v>
      </c>
      <c r="L374" s="704">
        <v>13260</v>
      </c>
      <c r="M374" s="679">
        <v>38340</v>
      </c>
      <c r="N374" s="704">
        <v>45090</v>
      </c>
      <c r="O374" s="694">
        <f t="shared" si="159"/>
        <v>84330</v>
      </c>
      <c r="P374" s="695">
        <f t="shared" si="157"/>
        <v>2811</v>
      </c>
      <c r="Q374" s="696">
        <f t="shared" si="160"/>
        <v>96240</v>
      </c>
      <c r="R374" s="697">
        <f t="shared" si="154"/>
        <v>3208</v>
      </c>
      <c r="S374" s="705">
        <v>2915.4</v>
      </c>
      <c r="T374" s="704">
        <v>3048.8999999999996</v>
      </c>
      <c r="U374" s="694">
        <f t="shared" si="161"/>
        <v>84330</v>
      </c>
      <c r="V374" s="698">
        <f t="shared" si="162"/>
        <v>96240</v>
      </c>
      <c r="W374" s="679"/>
      <c r="X374" s="678"/>
      <c r="Y374" s="679"/>
      <c r="Z374" s="678"/>
      <c r="AA374" s="679"/>
      <c r="AB374" s="678"/>
      <c r="AC374" s="679"/>
      <c r="AD374" s="678"/>
      <c r="AE374" s="694">
        <f t="shared" si="163"/>
        <v>0</v>
      </c>
      <c r="AF374" s="695">
        <f t="shared" si="155"/>
        <v>0</v>
      </c>
      <c r="AG374" s="696">
        <f t="shared" si="164"/>
        <v>0</v>
      </c>
      <c r="AH374" s="697">
        <f t="shared" si="156"/>
        <v>0</v>
      </c>
      <c r="AI374" s="679"/>
      <c r="AJ374" s="678"/>
      <c r="AK374" s="694">
        <f t="shared" si="165"/>
        <v>0</v>
      </c>
      <c r="AL374" s="698">
        <f t="shared" si="166"/>
        <v>0</v>
      </c>
      <c r="AM374" s="679"/>
      <c r="AN374" s="678"/>
      <c r="AO374" s="679"/>
      <c r="AP374" s="678"/>
      <c r="AQ374" s="679"/>
      <c r="AR374" s="678"/>
      <c r="AS374" s="679"/>
      <c r="AT374" s="678"/>
      <c r="AU374" s="699">
        <f t="shared" si="151"/>
        <v>0</v>
      </c>
      <c r="AV374" s="695">
        <f t="shared" si="158"/>
        <v>0</v>
      </c>
      <c r="AW374" s="696">
        <f t="shared" si="152"/>
        <v>0</v>
      </c>
      <c r="AX374" s="697">
        <f t="shared" si="153"/>
        <v>0</v>
      </c>
      <c r="AY374" s="700">
        <f t="shared" si="167"/>
        <v>2811</v>
      </c>
      <c r="AZ374" s="697">
        <f t="shared" si="168"/>
        <v>3208</v>
      </c>
      <c r="BA374" s="680"/>
    </row>
    <row r="375" spans="1:53">
      <c r="A375" s="522" t="s">
        <v>532</v>
      </c>
      <c r="B375" s="523" t="s">
        <v>571</v>
      </c>
      <c r="C375" s="524">
        <v>199768</v>
      </c>
      <c r="D375" s="271">
        <v>9</v>
      </c>
      <c r="E375" s="148" t="s">
        <v>393</v>
      </c>
      <c r="F375" s="525" t="s">
        <v>393</v>
      </c>
      <c r="G375" s="679"/>
      <c r="H375" s="678"/>
      <c r="I375" s="679">
        <v>45870</v>
      </c>
      <c r="J375" s="704">
        <v>47730</v>
      </c>
      <c r="K375" s="679">
        <v>15660</v>
      </c>
      <c r="L375" s="704">
        <v>16200</v>
      </c>
      <c r="M375" s="679">
        <v>50220</v>
      </c>
      <c r="N375" s="704">
        <v>52890</v>
      </c>
      <c r="O375" s="694">
        <f t="shared" si="159"/>
        <v>111750</v>
      </c>
      <c r="P375" s="695">
        <f t="shared" si="157"/>
        <v>3725</v>
      </c>
      <c r="Q375" s="696">
        <f t="shared" si="160"/>
        <v>116820</v>
      </c>
      <c r="R375" s="697">
        <f t="shared" si="154"/>
        <v>3894</v>
      </c>
      <c r="S375" s="705">
        <v>5877.3</v>
      </c>
      <c r="T375" s="704">
        <v>8242.7999999999993</v>
      </c>
      <c r="U375" s="694">
        <f t="shared" si="161"/>
        <v>111750</v>
      </c>
      <c r="V375" s="698">
        <f t="shared" si="162"/>
        <v>116820</v>
      </c>
      <c r="W375" s="679"/>
      <c r="X375" s="678"/>
      <c r="Y375" s="679"/>
      <c r="Z375" s="678"/>
      <c r="AA375" s="679"/>
      <c r="AB375" s="678"/>
      <c r="AC375" s="679"/>
      <c r="AD375" s="678"/>
      <c r="AE375" s="694">
        <f t="shared" si="163"/>
        <v>0</v>
      </c>
      <c r="AF375" s="695">
        <f t="shared" si="155"/>
        <v>0</v>
      </c>
      <c r="AG375" s="696">
        <f t="shared" si="164"/>
        <v>0</v>
      </c>
      <c r="AH375" s="697">
        <f t="shared" si="156"/>
        <v>0</v>
      </c>
      <c r="AI375" s="679"/>
      <c r="AJ375" s="678"/>
      <c r="AK375" s="694">
        <f t="shared" si="165"/>
        <v>0</v>
      </c>
      <c r="AL375" s="698">
        <f t="shared" si="166"/>
        <v>0</v>
      </c>
      <c r="AM375" s="679"/>
      <c r="AN375" s="678"/>
      <c r="AO375" s="679"/>
      <c r="AP375" s="678"/>
      <c r="AQ375" s="679"/>
      <c r="AR375" s="678"/>
      <c r="AS375" s="679"/>
      <c r="AT375" s="678"/>
      <c r="AU375" s="699">
        <f t="shared" si="151"/>
        <v>0</v>
      </c>
      <c r="AV375" s="695">
        <f t="shared" si="158"/>
        <v>0</v>
      </c>
      <c r="AW375" s="696">
        <f t="shared" si="152"/>
        <v>0</v>
      </c>
      <c r="AX375" s="697">
        <f t="shared" si="153"/>
        <v>0</v>
      </c>
      <c r="AY375" s="700">
        <f t="shared" si="167"/>
        <v>3725</v>
      </c>
      <c r="AZ375" s="697">
        <f t="shared" si="168"/>
        <v>3894</v>
      </c>
      <c r="BA375" s="680"/>
    </row>
    <row r="376" spans="1:53">
      <c r="A376" s="522" t="s">
        <v>532</v>
      </c>
      <c r="B376" s="523" t="s">
        <v>572</v>
      </c>
      <c r="C376" s="524">
        <v>199838</v>
      </c>
      <c r="D376" s="271">
        <v>9</v>
      </c>
      <c r="E376" s="148" t="s">
        <v>393</v>
      </c>
      <c r="F376" s="525" t="s">
        <v>393</v>
      </c>
      <c r="G376" s="679"/>
      <c r="H376" s="678"/>
      <c r="I376" s="679">
        <v>58950</v>
      </c>
      <c r="J376" s="704">
        <v>63540</v>
      </c>
      <c r="K376" s="679">
        <v>18210</v>
      </c>
      <c r="L376" s="704">
        <v>20190</v>
      </c>
      <c r="M376" s="679">
        <v>65460</v>
      </c>
      <c r="N376" s="704">
        <v>65670</v>
      </c>
      <c r="O376" s="694">
        <f t="shared" si="159"/>
        <v>142620</v>
      </c>
      <c r="P376" s="695">
        <f t="shared" si="157"/>
        <v>4754</v>
      </c>
      <c r="Q376" s="696">
        <f t="shared" si="160"/>
        <v>149400</v>
      </c>
      <c r="R376" s="697">
        <f t="shared" si="154"/>
        <v>4980</v>
      </c>
      <c r="S376" s="705">
        <v>8778.6</v>
      </c>
      <c r="T376" s="704">
        <v>7520.7</v>
      </c>
      <c r="U376" s="694">
        <f t="shared" si="161"/>
        <v>142620</v>
      </c>
      <c r="V376" s="698">
        <f t="shared" si="162"/>
        <v>149400</v>
      </c>
      <c r="W376" s="679"/>
      <c r="X376" s="678"/>
      <c r="Y376" s="679"/>
      <c r="Z376" s="678"/>
      <c r="AA376" s="679"/>
      <c r="AB376" s="678"/>
      <c r="AC376" s="679"/>
      <c r="AD376" s="678"/>
      <c r="AE376" s="694">
        <f t="shared" si="163"/>
        <v>0</v>
      </c>
      <c r="AF376" s="695">
        <f t="shared" si="155"/>
        <v>0</v>
      </c>
      <c r="AG376" s="696">
        <f t="shared" si="164"/>
        <v>0</v>
      </c>
      <c r="AH376" s="697">
        <f t="shared" si="156"/>
        <v>0</v>
      </c>
      <c r="AI376" s="679"/>
      <c r="AJ376" s="678"/>
      <c r="AK376" s="694">
        <f t="shared" si="165"/>
        <v>0</v>
      </c>
      <c r="AL376" s="698">
        <f t="shared" si="166"/>
        <v>0</v>
      </c>
      <c r="AM376" s="679"/>
      <c r="AN376" s="678"/>
      <c r="AO376" s="679"/>
      <c r="AP376" s="678"/>
      <c r="AQ376" s="679"/>
      <c r="AR376" s="678"/>
      <c r="AS376" s="679"/>
      <c r="AT376" s="678"/>
      <c r="AU376" s="699">
        <f t="shared" si="151"/>
        <v>0</v>
      </c>
      <c r="AV376" s="695">
        <f t="shared" si="158"/>
        <v>0</v>
      </c>
      <c r="AW376" s="696">
        <f t="shared" si="152"/>
        <v>0</v>
      </c>
      <c r="AX376" s="697">
        <f t="shared" si="153"/>
        <v>0</v>
      </c>
      <c r="AY376" s="700">
        <f t="shared" si="167"/>
        <v>4754</v>
      </c>
      <c r="AZ376" s="697">
        <f t="shared" si="168"/>
        <v>4980</v>
      </c>
      <c r="BA376" s="680"/>
    </row>
    <row r="377" spans="1:53">
      <c r="A377" s="522" t="s">
        <v>532</v>
      </c>
      <c r="B377" s="523" t="s">
        <v>573</v>
      </c>
      <c r="C377" s="524">
        <v>199892</v>
      </c>
      <c r="D377" s="271">
        <v>9</v>
      </c>
      <c r="E377" s="148" t="s">
        <v>393</v>
      </c>
      <c r="F377" s="525" t="s">
        <v>393</v>
      </c>
      <c r="G377" s="679"/>
      <c r="H377" s="678"/>
      <c r="I377" s="679">
        <v>49020</v>
      </c>
      <c r="J377" s="704">
        <v>50970</v>
      </c>
      <c r="K377" s="679">
        <v>17190</v>
      </c>
      <c r="L377" s="704">
        <v>15720</v>
      </c>
      <c r="M377" s="679">
        <v>52440</v>
      </c>
      <c r="N377" s="704">
        <v>56070</v>
      </c>
      <c r="O377" s="694">
        <f t="shared" si="159"/>
        <v>118650</v>
      </c>
      <c r="P377" s="695">
        <f t="shared" si="157"/>
        <v>3955</v>
      </c>
      <c r="Q377" s="696">
        <f t="shared" si="160"/>
        <v>122760</v>
      </c>
      <c r="R377" s="697">
        <f t="shared" si="154"/>
        <v>4092</v>
      </c>
      <c r="S377" s="705">
        <v>4302.3</v>
      </c>
      <c r="T377" s="704">
        <v>4982.7</v>
      </c>
      <c r="U377" s="694">
        <f t="shared" si="161"/>
        <v>118650</v>
      </c>
      <c r="V377" s="698">
        <f t="shared" si="162"/>
        <v>122760</v>
      </c>
      <c r="W377" s="679"/>
      <c r="X377" s="678"/>
      <c r="Y377" s="679"/>
      <c r="Z377" s="678"/>
      <c r="AA377" s="679"/>
      <c r="AB377" s="678"/>
      <c r="AC377" s="679"/>
      <c r="AD377" s="678"/>
      <c r="AE377" s="694">
        <f t="shared" si="163"/>
        <v>0</v>
      </c>
      <c r="AF377" s="695">
        <f t="shared" si="155"/>
        <v>0</v>
      </c>
      <c r="AG377" s="696">
        <f t="shared" si="164"/>
        <v>0</v>
      </c>
      <c r="AH377" s="697">
        <f t="shared" si="156"/>
        <v>0</v>
      </c>
      <c r="AI377" s="679"/>
      <c r="AJ377" s="678"/>
      <c r="AK377" s="694">
        <f t="shared" si="165"/>
        <v>0</v>
      </c>
      <c r="AL377" s="698">
        <f t="shared" si="166"/>
        <v>0</v>
      </c>
      <c r="AM377" s="679"/>
      <c r="AN377" s="678"/>
      <c r="AO377" s="679"/>
      <c r="AP377" s="678"/>
      <c r="AQ377" s="679"/>
      <c r="AR377" s="678"/>
      <c r="AS377" s="679"/>
      <c r="AT377" s="678"/>
      <c r="AU377" s="699">
        <f t="shared" si="151"/>
        <v>0</v>
      </c>
      <c r="AV377" s="695">
        <f t="shared" si="158"/>
        <v>0</v>
      </c>
      <c r="AW377" s="696">
        <f t="shared" si="152"/>
        <v>0</v>
      </c>
      <c r="AX377" s="697">
        <f t="shared" si="153"/>
        <v>0</v>
      </c>
      <c r="AY377" s="700">
        <f t="shared" si="167"/>
        <v>3955</v>
      </c>
      <c r="AZ377" s="697">
        <f t="shared" si="168"/>
        <v>4092</v>
      </c>
      <c r="BA377" s="680"/>
    </row>
    <row r="378" spans="1:53">
      <c r="A378" s="522" t="s">
        <v>532</v>
      </c>
      <c r="B378" s="523" t="s">
        <v>574</v>
      </c>
      <c r="C378" s="524">
        <v>199908</v>
      </c>
      <c r="D378" s="271">
        <v>9</v>
      </c>
      <c r="E378" s="148" t="s">
        <v>393</v>
      </c>
      <c r="F378" s="525" t="s">
        <v>393</v>
      </c>
      <c r="G378" s="679"/>
      <c r="H378" s="678"/>
      <c r="I378" s="679">
        <v>44250</v>
      </c>
      <c r="J378" s="704">
        <v>48090</v>
      </c>
      <c r="K378" s="679">
        <v>15420</v>
      </c>
      <c r="L378" s="704">
        <v>17610</v>
      </c>
      <c r="M378" s="679">
        <v>45660</v>
      </c>
      <c r="N378" s="704">
        <v>53820</v>
      </c>
      <c r="O378" s="694">
        <f t="shared" si="159"/>
        <v>105330</v>
      </c>
      <c r="P378" s="695">
        <f t="shared" si="157"/>
        <v>3511</v>
      </c>
      <c r="Q378" s="696">
        <f t="shared" si="160"/>
        <v>119520</v>
      </c>
      <c r="R378" s="697">
        <f t="shared" si="154"/>
        <v>3984</v>
      </c>
      <c r="S378" s="705">
        <v>4194</v>
      </c>
      <c r="T378" s="704">
        <v>4989.9000000000005</v>
      </c>
      <c r="U378" s="694">
        <f t="shared" si="161"/>
        <v>105330</v>
      </c>
      <c r="V378" s="698">
        <f t="shared" si="162"/>
        <v>119520</v>
      </c>
      <c r="W378" s="679"/>
      <c r="X378" s="678"/>
      <c r="Y378" s="679"/>
      <c r="Z378" s="678"/>
      <c r="AA378" s="679"/>
      <c r="AB378" s="678"/>
      <c r="AC378" s="679"/>
      <c r="AD378" s="678"/>
      <c r="AE378" s="694">
        <f t="shared" si="163"/>
        <v>0</v>
      </c>
      <c r="AF378" s="695">
        <f t="shared" si="155"/>
        <v>0</v>
      </c>
      <c r="AG378" s="696">
        <f t="shared" si="164"/>
        <v>0</v>
      </c>
      <c r="AH378" s="697">
        <f t="shared" si="156"/>
        <v>0</v>
      </c>
      <c r="AI378" s="679"/>
      <c r="AJ378" s="678"/>
      <c r="AK378" s="694">
        <f t="shared" si="165"/>
        <v>0</v>
      </c>
      <c r="AL378" s="698">
        <f t="shared" si="166"/>
        <v>0</v>
      </c>
      <c r="AM378" s="679"/>
      <c r="AN378" s="678"/>
      <c r="AO378" s="679"/>
      <c r="AP378" s="678"/>
      <c r="AQ378" s="679"/>
      <c r="AR378" s="678"/>
      <c r="AS378" s="679"/>
      <c r="AT378" s="678"/>
      <c r="AU378" s="699">
        <f t="shared" si="151"/>
        <v>0</v>
      </c>
      <c r="AV378" s="695">
        <f t="shared" si="158"/>
        <v>0</v>
      </c>
      <c r="AW378" s="696">
        <f t="shared" si="152"/>
        <v>0</v>
      </c>
      <c r="AX378" s="697">
        <f t="shared" si="153"/>
        <v>0</v>
      </c>
      <c r="AY378" s="700">
        <f t="shared" si="167"/>
        <v>3511</v>
      </c>
      <c r="AZ378" s="697">
        <f t="shared" si="168"/>
        <v>3984</v>
      </c>
      <c r="BA378" s="680"/>
    </row>
    <row r="379" spans="1:53">
      <c r="A379" s="522" t="s">
        <v>532</v>
      </c>
      <c r="B379" s="523" t="s">
        <v>575</v>
      </c>
      <c r="C379" s="524">
        <v>199926</v>
      </c>
      <c r="D379" s="271">
        <v>9</v>
      </c>
      <c r="E379" s="148" t="s">
        <v>393</v>
      </c>
      <c r="F379" s="525" t="s">
        <v>393</v>
      </c>
      <c r="G379" s="679"/>
      <c r="H379" s="678"/>
      <c r="I379" s="679">
        <v>37530</v>
      </c>
      <c r="J379" s="704">
        <v>43470</v>
      </c>
      <c r="K379" s="679">
        <v>10590</v>
      </c>
      <c r="L379" s="704">
        <v>13350</v>
      </c>
      <c r="M379" s="679">
        <v>42690</v>
      </c>
      <c r="N379" s="704">
        <v>48870</v>
      </c>
      <c r="O379" s="694">
        <f t="shared" si="159"/>
        <v>90810</v>
      </c>
      <c r="P379" s="695">
        <f t="shared" si="157"/>
        <v>3027</v>
      </c>
      <c r="Q379" s="696">
        <f t="shared" si="160"/>
        <v>105690</v>
      </c>
      <c r="R379" s="697">
        <f t="shared" si="154"/>
        <v>3523</v>
      </c>
      <c r="S379" s="705">
        <v>4612.5</v>
      </c>
      <c r="T379" s="704">
        <v>3268.2</v>
      </c>
      <c r="U379" s="694">
        <f t="shared" si="161"/>
        <v>90810</v>
      </c>
      <c r="V379" s="698">
        <f t="shared" si="162"/>
        <v>105690</v>
      </c>
      <c r="W379" s="679"/>
      <c r="X379" s="678"/>
      <c r="Y379" s="679"/>
      <c r="Z379" s="678"/>
      <c r="AA379" s="679"/>
      <c r="AB379" s="678"/>
      <c r="AC379" s="679"/>
      <c r="AD379" s="678"/>
      <c r="AE379" s="694">
        <f t="shared" si="163"/>
        <v>0</v>
      </c>
      <c r="AF379" s="695">
        <f t="shared" si="155"/>
        <v>0</v>
      </c>
      <c r="AG379" s="696">
        <f t="shared" si="164"/>
        <v>0</v>
      </c>
      <c r="AH379" s="697">
        <f t="shared" si="156"/>
        <v>0</v>
      </c>
      <c r="AI379" s="679"/>
      <c r="AJ379" s="678"/>
      <c r="AK379" s="694">
        <f t="shared" si="165"/>
        <v>0</v>
      </c>
      <c r="AL379" s="698">
        <f t="shared" si="166"/>
        <v>0</v>
      </c>
      <c r="AM379" s="679"/>
      <c r="AN379" s="678"/>
      <c r="AO379" s="679"/>
      <c r="AP379" s="678"/>
      <c r="AQ379" s="679"/>
      <c r="AR379" s="678"/>
      <c r="AS379" s="679"/>
      <c r="AT379" s="678"/>
      <c r="AU379" s="699">
        <f t="shared" si="151"/>
        <v>0</v>
      </c>
      <c r="AV379" s="695">
        <f t="shared" si="158"/>
        <v>0</v>
      </c>
      <c r="AW379" s="696">
        <f t="shared" si="152"/>
        <v>0</v>
      </c>
      <c r="AX379" s="697">
        <f t="shared" si="153"/>
        <v>0</v>
      </c>
      <c r="AY379" s="700">
        <f t="shared" si="167"/>
        <v>3027</v>
      </c>
      <c r="AZ379" s="697">
        <f t="shared" si="168"/>
        <v>3523</v>
      </c>
      <c r="BA379" s="680"/>
    </row>
    <row r="380" spans="1:53">
      <c r="A380" s="522" t="s">
        <v>532</v>
      </c>
      <c r="B380" s="523" t="s">
        <v>576</v>
      </c>
      <c r="C380" s="524">
        <v>199953</v>
      </c>
      <c r="D380" s="271">
        <v>9</v>
      </c>
      <c r="E380" s="148" t="s">
        <v>393</v>
      </c>
      <c r="F380" s="525" t="s">
        <v>393</v>
      </c>
      <c r="G380" s="679"/>
      <c r="H380" s="678"/>
      <c r="I380" s="679">
        <v>29130</v>
      </c>
      <c r="J380" s="704">
        <v>31080</v>
      </c>
      <c r="K380" s="679">
        <v>13830</v>
      </c>
      <c r="L380" s="704">
        <v>14580</v>
      </c>
      <c r="M380" s="679">
        <v>29250</v>
      </c>
      <c r="N380" s="704">
        <v>31650</v>
      </c>
      <c r="O380" s="694">
        <f t="shared" si="159"/>
        <v>72210</v>
      </c>
      <c r="P380" s="695">
        <f t="shared" si="157"/>
        <v>2407</v>
      </c>
      <c r="Q380" s="696">
        <f t="shared" si="160"/>
        <v>77310</v>
      </c>
      <c r="R380" s="697">
        <f t="shared" si="154"/>
        <v>2577</v>
      </c>
      <c r="S380" s="705">
        <v>838.2</v>
      </c>
      <c r="T380" s="704">
        <v>2015.6999999999998</v>
      </c>
      <c r="U380" s="694">
        <f t="shared" si="161"/>
        <v>72210</v>
      </c>
      <c r="V380" s="698">
        <f t="shared" si="162"/>
        <v>77310</v>
      </c>
      <c r="W380" s="679"/>
      <c r="X380" s="678"/>
      <c r="Y380" s="679"/>
      <c r="Z380" s="678"/>
      <c r="AA380" s="679"/>
      <c r="AB380" s="678"/>
      <c r="AC380" s="679"/>
      <c r="AD380" s="678"/>
      <c r="AE380" s="694">
        <f t="shared" si="163"/>
        <v>0</v>
      </c>
      <c r="AF380" s="695">
        <f t="shared" si="155"/>
        <v>0</v>
      </c>
      <c r="AG380" s="696">
        <f t="shared" si="164"/>
        <v>0</v>
      </c>
      <c r="AH380" s="697">
        <f t="shared" si="156"/>
        <v>0</v>
      </c>
      <c r="AI380" s="679"/>
      <c r="AJ380" s="678"/>
      <c r="AK380" s="694">
        <f t="shared" si="165"/>
        <v>0</v>
      </c>
      <c r="AL380" s="698">
        <f t="shared" si="166"/>
        <v>0</v>
      </c>
      <c r="AM380" s="679"/>
      <c r="AN380" s="678"/>
      <c r="AO380" s="679"/>
      <c r="AP380" s="678"/>
      <c r="AQ380" s="679"/>
      <c r="AR380" s="678"/>
      <c r="AS380" s="679"/>
      <c r="AT380" s="678"/>
      <c r="AU380" s="699">
        <f t="shared" si="151"/>
        <v>0</v>
      </c>
      <c r="AV380" s="695">
        <f t="shared" si="158"/>
        <v>0</v>
      </c>
      <c r="AW380" s="696">
        <f t="shared" si="152"/>
        <v>0</v>
      </c>
      <c r="AX380" s="697">
        <f t="shared" si="153"/>
        <v>0</v>
      </c>
      <c r="AY380" s="700">
        <f t="shared" si="167"/>
        <v>2407</v>
      </c>
      <c r="AZ380" s="697">
        <f t="shared" si="168"/>
        <v>2577</v>
      </c>
      <c r="BA380" s="680"/>
    </row>
    <row r="381" spans="1:53">
      <c r="A381" s="526" t="s">
        <v>532</v>
      </c>
      <c r="B381" s="523" t="s">
        <v>544</v>
      </c>
      <c r="C381" s="524">
        <v>197966</v>
      </c>
      <c r="D381" s="271">
        <v>10</v>
      </c>
      <c r="E381" s="148" t="s">
        <v>393</v>
      </c>
      <c r="F381" s="525" t="s">
        <v>393</v>
      </c>
      <c r="G381" s="679"/>
      <c r="H381" s="678"/>
      <c r="I381" s="679">
        <v>24690</v>
      </c>
      <c r="J381" s="704">
        <v>27510</v>
      </c>
      <c r="K381" s="679">
        <v>6810</v>
      </c>
      <c r="L381" s="704">
        <v>6690</v>
      </c>
      <c r="M381" s="679">
        <v>26880</v>
      </c>
      <c r="N381" s="704">
        <v>29910</v>
      </c>
      <c r="O381" s="694">
        <f t="shared" si="159"/>
        <v>58380</v>
      </c>
      <c r="P381" s="695">
        <f t="shared" si="157"/>
        <v>1946</v>
      </c>
      <c r="Q381" s="696">
        <f t="shared" si="160"/>
        <v>64110</v>
      </c>
      <c r="R381" s="697">
        <f t="shared" si="154"/>
        <v>2137</v>
      </c>
      <c r="S381" s="705">
        <v>2475.9</v>
      </c>
      <c r="T381" s="704">
        <v>2160.9</v>
      </c>
      <c r="U381" s="694">
        <f t="shared" si="161"/>
        <v>58380</v>
      </c>
      <c r="V381" s="698">
        <f t="shared" si="162"/>
        <v>64110</v>
      </c>
      <c r="W381" s="679"/>
      <c r="X381" s="678"/>
      <c r="Y381" s="679"/>
      <c r="Z381" s="678"/>
      <c r="AA381" s="679"/>
      <c r="AB381" s="678"/>
      <c r="AC381" s="679"/>
      <c r="AD381" s="678"/>
      <c r="AE381" s="694">
        <f t="shared" si="163"/>
        <v>0</v>
      </c>
      <c r="AF381" s="695">
        <f t="shared" si="155"/>
        <v>0</v>
      </c>
      <c r="AG381" s="696">
        <f t="shared" si="164"/>
        <v>0</v>
      </c>
      <c r="AH381" s="697">
        <f t="shared" si="156"/>
        <v>0</v>
      </c>
      <c r="AI381" s="679"/>
      <c r="AJ381" s="678"/>
      <c r="AK381" s="694">
        <f t="shared" si="165"/>
        <v>0</v>
      </c>
      <c r="AL381" s="698">
        <f t="shared" si="166"/>
        <v>0</v>
      </c>
      <c r="AM381" s="679"/>
      <c r="AN381" s="678"/>
      <c r="AO381" s="679"/>
      <c r="AP381" s="678"/>
      <c r="AQ381" s="679"/>
      <c r="AR381" s="678"/>
      <c r="AS381" s="679"/>
      <c r="AT381" s="678"/>
      <c r="AU381" s="699">
        <f t="shared" si="151"/>
        <v>0</v>
      </c>
      <c r="AV381" s="695">
        <f t="shared" si="158"/>
        <v>0</v>
      </c>
      <c r="AW381" s="696">
        <f t="shared" si="152"/>
        <v>0</v>
      </c>
      <c r="AX381" s="697">
        <f t="shared" si="153"/>
        <v>0</v>
      </c>
      <c r="AY381" s="700">
        <f t="shared" si="167"/>
        <v>1946</v>
      </c>
      <c r="AZ381" s="697">
        <f t="shared" si="168"/>
        <v>2137</v>
      </c>
      <c r="BA381" s="680"/>
    </row>
    <row r="382" spans="1:53">
      <c r="A382" s="522" t="s">
        <v>532</v>
      </c>
      <c r="B382" s="523" t="s">
        <v>577</v>
      </c>
      <c r="C382" s="524">
        <v>198011</v>
      </c>
      <c r="D382" s="271">
        <v>10</v>
      </c>
      <c r="E382" s="148" t="s">
        <v>393</v>
      </c>
      <c r="F382" s="525" t="s">
        <v>393</v>
      </c>
      <c r="G382" s="679"/>
      <c r="H382" s="678"/>
      <c r="I382" s="679">
        <v>20460</v>
      </c>
      <c r="J382" s="704">
        <v>22500</v>
      </c>
      <c r="K382" s="679">
        <v>4890</v>
      </c>
      <c r="L382" s="704">
        <v>4920</v>
      </c>
      <c r="M382" s="679">
        <v>21480</v>
      </c>
      <c r="N382" s="704">
        <v>26130</v>
      </c>
      <c r="O382" s="694">
        <f t="shared" si="159"/>
        <v>46830</v>
      </c>
      <c r="P382" s="695">
        <f t="shared" si="157"/>
        <v>1561</v>
      </c>
      <c r="Q382" s="696">
        <f t="shared" si="160"/>
        <v>53550</v>
      </c>
      <c r="R382" s="697">
        <f t="shared" si="154"/>
        <v>1785</v>
      </c>
      <c r="S382" s="705">
        <v>2384.4</v>
      </c>
      <c r="T382" s="704">
        <v>1653.3</v>
      </c>
      <c r="U382" s="694">
        <f t="shared" si="161"/>
        <v>46830</v>
      </c>
      <c r="V382" s="698">
        <f t="shared" si="162"/>
        <v>53550</v>
      </c>
      <c r="W382" s="679"/>
      <c r="X382" s="678"/>
      <c r="Y382" s="679"/>
      <c r="Z382" s="678"/>
      <c r="AA382" s="679"/>
      <c r="AB382" s="678"/>
      <c r="AC382" s="679"/>
      <c r="AD382" s="678"/>
      <c r="AE382" s="694">
        <f t="shared" si="163"/>
        <v>0</v>
      </c>
      <c r="AF382" s="695">
        <f t="shared" si="155"/>
        <v>0</v>
      </c>
      <c r="AG382" s="696">
        <f t="shared" si="164"/>
        <v>0</v>
      </c>
      <c r="AH382" s="697">
        <f t="shared" si="156"/>
        <v>0</v>
      </c>
      <c r="AI382" s="679"/>
      <c r="AJ382" s="678"/>
      <c r="AK382" s="694">
        <f t="shared" si="165"/>
        <v>0</v>
      </c>
      <c r="AL382" s="698">
        <f t="shared" si="166"/>
        <v>0</v>
      </c>
      <c r="AM382" s="679"/>
      <c r="AN382" s="678"/>
      <c r="AO382" s="679"/>
      <c r="AP382" s="678"/>
      <c r="AQ382" s="679"/>
      <c r="AR382" s="678"/>
      <c r="AS382" s="679"/>
      <c r="AT382" s="678"/>
      <c r="AU382" s="699">
        <f t="shared" si="151"/>
        <v>0</v>
      </c>
      <c r="AV382" s="695">
        <f t="shared" si="158"/>
        <v>0</v>
      </c>
      <c r="AW382" s="696">
        <f t="shared" si="152"/>
        <v>0</v>
      </c>
      <c r="AX382" s="697">
        <f t="shared" si="153"/>
        <v>0</v>
      </c>
      <c r="AY382" s="700">
        <f t="shared" si="167"/>
        <v>1561</v>
      </c>
      <c r="AZ382" s="697">
        <f t="shared" si="168"/>
        <v>1785</v>
      </c>
      <c r="BA382" s="680"/>
    </row>
    <row r="383" spans="1:53">
      <c r="A383" s="522" t="s">
        <v>532</v>
      </c>
      <c r="B383" s="523" t="s">
        <v>578</v>
      </c>
      <c r="C383" s="524">
        <v>198084</v>
      </c>
      <c r="D383" s="271">
        <v>10</v>
      </c>
      <c r="E383" s="148" t="s">
        <v>393</v>
      </c>
      <c r="F383" s="525" t="s">
        <v>393</v>
      </c>
      <c r="G383" s="679"/>
      <c r="H383" s="678"/>
      <c r="I383" s="679">
        <v>21120</v>
      </c>
      <c r="J383" s="704">
        <v>24960</v>
      </c>
      <c r="K383" s="679">
        <v>4920</v>
      </c>
      <c r="L383" s="704">
        <v>6450</v>
      </c>
      <c r="M383" s="679">
        <v>23910</v>
      </c>
      <c r="N383" s="704">
        <v>26790</v>
      </c>
      <c r="O383" s="694">
        <f t="shared" si="159"/>
        <v>49950</v>
      </c>
      <c r="P383" s="695">
        <f t="shared" si="157"/>
        <v>1665</v>
      </c>
      <c r="Q383" s="696">
        <f t="shared" si="160"/>
        <v>58200</v>
      </c>
      <c r="R383" s="697">
        <f t="shared" si="154"/>
        <v>1940</v>
      </c>
      <c r="S383" s="705">
        <v>3070.5</v>
      </c>
      <c r="T383" s="704">
        <v>3558.3</v>
      </c>
      <c r="U383" s="694">
        <f t="shared" si="161"/>
        <v>49950</v>
      </c>
      <c r="V383" s="698">
        <f t="shared" si="162"/>
        <v>58200</v>
      </c>
      <c r="W383" s="679"/>
      <c r="X383" s="678"/>
      <c r="Y383" s="679"/>
      <c r="Z383" s="678"/>
      <c r="AA383" s="679"/>
      <c r="AB383" s="678"/>
      <c r="AC383" s="679"/>
      <c r="AD383" s="678"/>
      <c r="AE383" s="694">
        <f t="shared" si="163"/>
        <v>0</v>
      </c>
      <c r="AF383" s="695">
        <f t="shared" si="155"/>
        <v>0</v>
      </c>
      <c r="AG383" s="696">
        <f t="shared" si="164"/>
        <v>0</v>
      </c>
      <c r="AH383" s="697">
        <f t="shared" si="156"/>
        <v>0</v>
      </c>
      <c r="AI383" s="679"/>
      <c r="AJ383" s="678"/>
      <c r="AK383" s="694">
        <f t="shared" si="165"/>
        <v>0</v>
      </c>
      <c r="AL383" s="698">
        <f t="shared" si="166"/>
        <v>0</v>
      </c>
      <c r="AM383" s="679"/>
      <c r="AN383" s="678"/>
      <c r="AO383" s="679"/>
      <c r="AP383" s="678"/>
      <c r="AQ383" s="679"/>
      <c r="AR383" s="678"/>
      <c r="AS383" s="679"/>
      <c r="AT383" s="678"/>
      <c r="AU383" s="699">
        <f t="shared" si="151"/>
        <v>0</v>
      </c>
      <c r="AV383" s="695">
        <f t="shared" si="158"/>
        <v>0</v>
      </c>
      <c r="AW383" s="696">
        <f t="shared" si="152"/>
        <v>0</v>
      </c>
      <c r="AX383" s="697">
        <f t="shared" si="153"/>
        <v>0</v>
      </c>
      <c r="AY383" s="700">
        <f t="shared" si="167"/>
        <v>1665</v>
      </c>
      <c r="AZ383" s="697">
        <f t="shared" si="168"/>
        <v>1940</v>
      </c>
      <c r="BA383" s="680"/>
    </row>
    <row r="384" spans="1:53">
      <c r="A384" s="522" t="s">
        <v>532</v>
      </c>
      <c r="B384" s="523" t="s">
        <v>579</v>
      </c>
      <c r="C384" s="524">
        <v>198206</v>
      </c>
      <c r="D384" s="271">
        <v>10</v>
      </c>
      <c r="E384" s="148" t="s">
        <v>393</v>
      </c>
      <c r="F384" s="525" t="s">
        <v>393</v>
      </c>
      <c r="G384" s="679"/>
      <c r="H384" s="678"/>
      <c r="I384" s="679">
        <v>24900</v>
      </c>
      <c r="J384" s="704">
        <v>26820</v>
      </c>
      <c r="K384" s="679">
        <v>9180</v>
      </c>
      <c r="L384" s="704">
        <v>9060</v>
      </c>
      <c r="M384" s="679">
        <v>25740</v>
      </c>
      <c r="N384" s="704">
        <v>29310</v>
      </c>
      <c r="O384" s="694">
        <f t="shared" si="159"/>
        <v>59820</v>
      </c>
      <c r="P384" s="695">
        <f t="shared" si="157"/>
        <v>1994</v>
      </c>
      <c r="Q384" s="696">
        <f t="shared" si="160"/>
        <v>65190</v>
      </c>
      <c r="R384" s="697">
        <f t="shared" si="154"/>
        <v>2173</v>
      </c>
      <c r="S384" s="705">
        <v>1263.9000000000001</v>
      </c>
      <c r="T384" s="704">
        <v>1507.5</v>
      </c>
      <c r="U384" s="694">
        <f t="shared" si="161"/>
        <v>59820</v>
      </c>
      <c r="V384" s="698">
        <f t="shared" si="162"/>
        <v>65190</v>
      </c>
      <c r="W384" s="679"/>
      <c r="X384" s="678"/>
      <c r="Y384" s="679"/>
      <c r="Z384" s="678"/>
      <c r="AA384" s="679"/>
      <c r="AB384" s="678"/>
      <c r="AC384" s="679"/>
      <c r="AD384" s="678"/>
      <c r="AE384" s="694">
        <f t="shared" si="163"/>
        <v>0</v>
      </c>
      <c r="AF384" s="695">
        <f t="shared" si="155"/>
        <v>0</v>
      </c>
      <c r="AG384" s="696">
        <f t="shared" si="164"/>
        <v>0</v>
      </c>
      <c r="AH384" s="697">
        <f t="shared" si="156"/>
        <v>0</v>
      </c>
      <c r="AI384" s="679"/>
      <c r="AJ384" s="678"/>
      <c r="AK384" s="694">
        <f t="shared" si="165"/>
        <v>0</v>
      </c>
      <c r="AL384" s="698">
        <f t="shared" si="166"/>
        <v>0</v>
      </c>
      <c r="AM384" s="679"/>
      <c r="AN384" s="678"/>
      <c r="AO384" s="679"/>
      <c r="AP384" s="678"/>
      <c r="AQ384" s="679"/>
      <c r="AR384" s="678"/>
      <c r="AS384" s="679"/>
      <c r="AT384" s="678"/>
      <c r="AU384" s="699">
        <f t="shared" si="151"/>
        <v>0</v>
      </c>
      <c r="AV384" s="695">
        <f t="shared" si="158"/>
        <v>0</v>
      </c>
      <c r="AW384" s="696">
        <f t="shared" si="152"/>
        <v>0</v>
      </c>
      <c r="AX384" s="697">
        <f t="shared" si="153"/>
        <v>0</v>
      </c>
      <c r="AY384" s="700">
        <f t="shared" si="167"/>
        <v>1994</v>
      </c>
      <c r="AZ384" s="697">
        <f t="shared" si="168"/>
        <v>2173</v>
      </c>
      <c r="BA384" s="680"/>
    </row>
    <row r="385" spans="1:53">
      <c r="A385" s="522" t="s">
        <v>532</v>
      </c>
      <c r="B385" s="523" t="s">
        <v>580</v>
      </c>
      <c r="C385" s="524">
        <v>198640</v>
      </c>
      <c r="D385" s="271">
        <v>10</v>
      </c>
      <c r="E385" s="148" t="s">
        <v>393</v>
      </c>
      <c r="F385" s="525" t="s">
        <v>393</v>
      </c>
      <c r="G385" s="679"/>
      <c r="H385" s="678"/>
      <c r="I385" s="679">
        <v>22260</v>
      </c>
      <c r="J385" s="704">
        <v>24660</v>
      </c>
      <c r="K385" s="679">
        <v>4800</v>
      </c>
      <c r="L385" s="704">
        <v>4740</v>
      </c>
      <c r="M385" s="679">
        <v>23610</v>
      </c>
      <c r="N385" s="704">
        <v>27600</v>
      </c>
      <c r="O385" s="694">
        <f t="shared" si="159"/>
        <v>50670</v>
      </c>
      <c r="P385" s="695">
        <f t="shared" si="157"/>
        <v>1689</v>
      </c>
      <c r="Q385" s="696">
        <f t="shared" si="160"/>
        <v>57000</v>
      </c>
      <c r="R385" s="697">
        <f t="shared" ref="R385:R448" si="169">+Q385/30</f>
        <v>1900</v>
      </c>
      <c r="S385" s="705">
        <v>1053.9000000000001</v>
      </c>
      <c r="T385" s="704">
        <v>748.2</v>
      </c>
      <c r="U385" s="694">
        <f t="shared" si="161"/>
        <v>50670</v>
      </c>
      <c r="V385" s="698">
        <f t="shared" si="162"/>
        <v>57000</v>
      </c>
      <c r="W385" s="679"/>
      <c r="X385" s="678"/>
      <c r="Y385" s="679"/>
      <c r="Z385" s="678"/>
      <c r="AA385" s="679"/>
      <c r="AB385" s="678"/>
      <c r="AC385" s="679"/>
      <c r="AD385" s="678"/>
      <c r="AE385" s="694">
        <f t="shared" si="163"/>
        <v>0</v>
      </c>
      <c r="AF385" s="695">
        <f t="shared" ref="AF385:AF448" si="170">+AE385/900</f>
        <v>0</v>
      </c>
      <c r="AG385" s="696">
        <f t="shared" si="164"/>
        <v>0</v>
      </c>
      <c r="AH385" s="697">
        <f t="shared" ref="AH385:AH448" si="171">+AG385/900</f>
        <v>0</v>
      </c>
      <c r="AI385" s="679"/>
      <c r="AJ385" s="678"/>
      <c r="AK385" s="694">
        <f t="shared" si="165"/>
        <v>0</v>
      </c>
      <c r="AL385" s="698">
        <f t="shared" si="166"/>
        <v>0</v>
      </c>
      <c r="AM385" s="679"/>
      <c r="AN385" s="678"/>
      <c r="AO385" s="679"/>
      <c r="AP385" s="678"/>
      <c r="AQ385" s="679"/>
      <c r="AR385" s="678"/>
      <c r="AS385" s="679"/>
      <c r="AT385" s="678"/>
      <c r="AU385" s="699">
        <f t="shared" ref="AU385:AU448" si="172">SUM(AM385,AO385,AQ385,AS385)</f>
        <v>0</v>
      </c>
      <c r="AV385" s="695">
        <f t="shared" si="158"/>
        <v>0</v>
      </c>
      <c r="AW385" s="696">
        <f t="shared" ref="AW385:AW448" si="173">SUM(AN385,AP385,AR385,AT385)</f>
        <v>0</v>
      </c>
      <c r="AX385" s="697">
        <f t="shared" ref="AX385:AX448" si="174">+AW385/24</f>
        <v>0</v>
      </c>
      <c r="AY385" s="700">
        <f t="shared" si="167"/>
        <v>1689</v>
      </c>
      <c r="AZ385" s="697">
        <f t="shared" si="168"/>
        <v>1900</v>
      </c>
      <c r="BA385" s="680"/>
    </row>
    <row r="386" spans="1:53">
      <c r="A386" s="522" t="s">
        <v>532</v>
      </c>
      <c r="B386" s="523" t="s">
        <v>581</v>
      </c>
      <c r="C386" s="524">
        <v>198729</v>
      </c>
      <c r="D386" s="271">
        <v>10</v>
      </c>
      <c r="E386" s="148" t="s">
        <v>393</v>
      </c>
      <c r="F386" s="525" t="s">
        <v>393</v>
      </c>
      <c r="G386" s="679"/>
      <c r="H386" s="678"/>
      <c r="I386" s="679">
        <v>18030</v>
      </c>
      <c r="J386" s="704">
        <v>19020</v>
      </c>
      <c r="K386" s="679">
        <v>5550</v>
      </c>
      <c r="L386" s="704">
        <v>6510</v>
      </c>
      <c r="M386" s="679">
        <v>20430</v>
      </c>
      <c r="N386" s="704">
        <v>24780</v>
      </c>
      <c r="O386" s="694">
        <f t="shared" si="159"/>
        <v>44010</v>
      </c>
      <c r="P386" s="695">
        <f t="shared" si="157"/>
        <v>1467</v>
      </c>
      <c r="Q386" s="696">
        <f t="shared" si="160"/>
        <v>50310</v>
      </c>
      <c r="R386" s="697">
        <f t="shared" si="169"/>
        <v>1677</v>
      </c>
      <c r="S386" s="705">
        <v>2222.7000000000003</v>
      </c>
      <c r="T386" s="704">
        <v>2647.2</v>
      </c>
      <c r="U386" s="694">
        <f t="shared" si="161"/>
        <v>44010</v>
      </c>
      <c r="V386" s="698">
        <f t="shared" si="162"/>
        <v>50310</v>
      </c>
      <c r="W386" s="679"/>
      <c r="X386" s="678"/>
      <c r="Y386" s="679"/>
      <c r="Z386" s="678"/>
      <c r="AA386" s="679"/>
      <c r="AB386" s="678"/>
      <c r="AC386" s="679"/>
      <c r="AD386" s="678"/>
      <c r="AE386" s="694">
        <f t="shared" si="163"/>
        <v>0</v>
      </c>
      <c r="AF386" s="695">
        <f t="shared" si="170"/>
        <v>0</v>
      </c>
      <c r="AG386" s="696">
        <f t="shared" si="164"/>
        <v>0</v>
      </c>
      <c r="AH386" s="697">
        <f t="shared" si="171"/>
        <v>0</v>
      </c>
      <c r="AI386" s="679"/>
      <c r="AJ386" s="678"/>
      <c r="AK386" s="694">
        <f t="shared" si="165"/>
        <v>0</v>
      </c>
      <c r="AL386" s="698">
        <f t="shared" si="166"/>
        <v>0</v>
      </c>
      <c r="AM386" s="679"/>
      <c r="AN386" s="678"/>
      <c r="AO386" s="679"/>
      <c r="AP386" s="678"/>
      <c r="AQ386" s="679"/>
      <c r="AR386" s="678"/>
      <c r="AS386" s="679"/>
      <c r="AT386" s="678"/>
      <c r="AU386" s="699">
        <f t="shared" si="172"/>
        <v>0</v>
      </c>
      <c r="AV386" s="695">
        <f t="shared" si="158"/>
        <v>0</v>
      </c>
      <c r="AW386" s="696">
        <f t="shared" si="173"/>
        <v>0</v>
      </c>
      <c r="AX386" s="697">
        <f t="shared" si="174"/>
        <v>0</v>
      </c>
      <c r="AY386" s="700">
        <f t="shared" si="167"/>
        <v>1467</v>
      </c>
      <c r="AZ386" s="697">
        <f t="shared" si="168"/>
        <v>1677</v>
      </c>
      <c r="BA386" s="680"/>
    </row>
    <row r="387" spans="1:53">
      <c r="A387" s="522" t="s">
        <v>532</v>
      </c>
      <c r="B387" s="523" t="s">
        <v>582</v>
      </c>
      <c r="C387" s="524">
        <v>198905</v>
      </c>
      <c r="D387" s="271">
        <v>10</v>
      </c>
      <c r="E387" s="148" t="s">
        <v>393</v>
      </c>
      <c r="F387" s="525" t="s">
        <v>393</v>
      </c>
      <c r="G387" s="679"/>
      <c r="H387" s="678"/>
      <c r="I387" s="679">
        <v>11100</v>
      </c>
      <c r="J387" s="704">
        <v>12090</v>
      </c>
      <c r="K387" s="679">
        <v>3900</v>
      </c>
      <c r="L387" s="704">
        <v>4890</v>
      </c>
      <c r="M387" s="679">
        <v>12180</v>
      </c>
      <c r="N387" s="704">
        <v>15300</v>
      </c>
      <c r="O387" s="694">
        <f t="shared" si="159"/>
        <v>27180</v>
      </c>
      <c r="P387" s="695">
        <f t="shared" si="157"/>
        <v>906</v>
      </c>
      <c r="Q387" s="696">
        <f t="shared" si="160"/>
        <v>32280</v>
      </c>
      <c r="R387" s="697">
        <f t="shared" si="169"/>
        <v>1076</v>
      </c>
      <c r="S387" s="705">
        <v>1451.4</v>
      </c>
      <c r="T387" s="704">
        <v>1184.0999999999999</v>
      </c>
      <c r="U387" s="694">
        <f t="shared" si="161"/>
        <v>27180</v>
      </c>
      <c r="V387" s="698">
        <f t="shared" si="162"/>
        <v>32280</v>
      </c>
      <c r="W387" s="679"/>
      <c r="X387" s="678"/>
      <c r="Y387" s="679"/>
      <c r="Z387" s="678"/>
      <c r="AA387" s="679"/>
      <c r="AB387" s="678"/>
      <c r="AC387" s="679"/>
      <c r="AD387" s="678"/>
      <c r="AE387" s="694">
        <f t="shared" si="163"/>
        <v>0</v>
      </c>
      <c r="AF387" s="695">
        <f t="shared" si="170"/>
        <v>0</v>
      </c>
      <c r="AG387" s="696">
        <f t="shared" si="164"/>
        <v>0</v>
      </c>
      <c r="AH387" s="697">
        <f t="shared" si="171"/>
        <v>0</v>
      </c>
      <c r="AI387" s="679"/>
      <c r="AJ387" s="678"/>
      <c r="AK387" s="694">
        <f t="shared" si="165"/>
        <v>0</v>
      </c>
      <c r="AL387" s="698">
        <f t="shared" si="166"/>
        <v>0</v>
      </c>
      <c r="AM387" s="679"/>
      <c r="AN387" s="678"/>
      <c r="AO387" s="679"/>
      <c r="AP387" s="678"/>
      <c r="AQ387" s="679"/>
      <c r="AR387" s="678"/>
      <c r="AS387" s="679"/>
      <c r="AT387" s="678"/>
      <c r="AU387" s="699">
        <f t="shared" si="172"/>
        <v>0</v>
      </c>
      <c r="AV387" s="695">
        <f t="shared" si="158"/>
        <v>0</v>
      </c>
      <c r="AW387" s="696">
        <f t="shared" si="173"/>
        <v>0</v>
      </c>
      <c r="AX387" s="697">
        <f t="shared" si="174"/>
        <v>0</v>
      </c>
      <c r="AY387" s="700">
        <f t="shared" si="167"/>
        <v>906</v>
      </c>
      <c r="AZ387" s="697">
        <f t="shared" si="168"/>
        <v>1076</v>
      </c>
      <c r="BA387" s="680"/>
    </row>
    <row r="388" spans="1:53">
      <c r="A388" s="522" t="s">
        <v>532</v>
      </c>
      <c r="B388" s="523" t="s">
        <v>584</v>
      </c>
      <c r="C388" s="524">
        <v>198923</v>
      </c>
      <c r="D388" s="271">
        <v>10</v>
      </c>
      <c r="E388" s="148" t="s">
        <v>393</v>
      </c>
      <c r="F388" s="525" t="s">
        <v>393</v>
      </c>
      <c r="G388" s="679"/>
      <c r="H388" s="678"/>
      <c r="I388" s="679">
        <v>17790</v>
      </c>
      <c r="J388" s="704">
        <v>21420</v>
      </c>
      <c r="K388" s="679">
        <v>7470</v>
      </c>
      <c r="L388" s="704">
        <v>9690</v>
      </c>
      <c r="M388" s="679">
        <v>20580</v>
      </c>
      <c r="N388" s="704">
        <v>23790</v>
      </c>
      <c r="O388" s="694">
        <f t="shared" si="159"/>
        <v>45840</v>
      </c>
      <c r="P388" s="695">
        <f t="shared" si="157"/>
        <v>1528</v>
      </c>
      <c r="Q388" s="696">
        <f t="shared" si="160"/>
        <v>54900</v>
      </c>
      <c r="R388" s="697">
        <f t="shared" si="169"/>
        <v>1830</v>
      </c>
      <c r="S388" s="705">
        <v>2490.9</v>
      </c>
      <c r="T388" s="704">
        <v>3191.7</v>
      </c>
      <c r="U388" s="694">
        <f t="shared" si="161"/>
        <v>45840</v>
      </c>
      <c r="V388" s="698">
        <f t="shared" si="162"/>
        <v>54900</v>
      </c>
      <c r="W388" s="679"/>
      <c r="X388" s="678"/>
      <c r="Y388" s="679"/>
      <c r="Z388" s="678"/>
      <c r="AA388" s="679"/>
      <c r="AB388" s="678"/>
      <c r="AC388" s="679"/>
      <c r="AD388" s="678"/>
      <c r="AE388" s="694">
        <f t="shared" si="163"/>
        <v>0</v>
      </c>
      <c r="AF388" s="695">
        <f t="shared" si="170"/>
        <v>0</v>
      </c>
      <c r="AG388" s="696">
        <f t="shared" si="164"/>
        <v>0</v>
      </c>
      <c r="AH388" s="697">
        <f t="shared" si="171"/>
        <v>0</v>
      </c>
      <c r="AI388" s="679"/>
      <c r="AJ388" s="678"/>
      <c r="AK388" s="694">
        <f t="shared" si="165"/>
        <v>0</v>
      </c>
      <c r="AL388" s="698">
        <f t="shared" si="166"/>
        <v>0</v>
      </c>
      <c r="AM388" s="679"/>
      <c r="AN388" s="678"/>
      <c r="AO388" s="679"/>
      <c r="AP388" s="678"/>
      <c r="AQ388" s="679"/>
      <c r="AR388" s="678"/>
      <c r="AS388" s="679"/>
      <c r="AT388" s="678"/>
      <c r="AU388" s="699">
        <f t="shared" si="172"/>
        <v>0</v>
      </c>
      <c r="AV388" s="695">
        <f t="shared" si="158"/>
        <v>0</v>
      </c>
      <c r="AW388" s="696">
        <f t="shared" si="173"/>
        <v>0</v>
      </c>
      <c r="AX388" s="697">
        <f t="shared" si="174"/>
        <v>0</v>
      </c>
      <c r="AY388" s="700">
        <f t="shared" si="167"/>
        <v>1528</v>
      </c>
      <c r="AZ388" s="697">
        <f t="shared" si="168"/>
        <v>1830</v>
      </c>
      <c r="BA388" s="680"/>
    </row>
    <row r="389" spans="1:53">
      <c r="A389" s="522" t="s">
        <v>532</v>
      </c>
      <c r="B389" s="523" t="s">
        <v>585</v>
      </c>
      <c r="C389" s="524">
        <v>199023</v>
      </c>
      <c r="D389" s="271">
        <v>10</v>
      </c>
      <c r="E389" s="148" t="s">
        <v>393</v>
      </c>
      <c r="F389" s="148" t="s">
        <v>393</v>
      </c>
      <c r="G389" s="679"/>
      <c r="H389" s="678"/>
      <c r="I389" s="706">
        <v>14190</v>
      </c>
      <c r="J389" s="707">
        <v>14190</v>
      </c>
      <c r="K389" s="706">
        <v>4590</v>
      </c>
      <c r="L389" s="707">
        <v>5070</v>
      </c>
      <c r="M389" s="706">
        <v>14790</v>
      </c>
      <c r="N389" s="708">
        <v>15060</v>
      </c>
      <c r="O389" s="694">
        <f t="shared" si="159"/>
        <v>33570</v>
      </c>
      <c r="P389" s="695">
        <f t="shared" si="157"/>
        <v>1119</v>
      </c>
      <c r="Q389" s="696">
        <f t="shared" si="160"/>
        <v>34320</v>
      </c>
      <c r="R389" s="697">
        <f t="shared" si="169"/>
        <v>1144</v>
      </c>
      <c r="S389" s="709">
        <v>918.9</v>
      </c>
      <c r="T389" s="708">
        <v>1311</v>
      </c>
      <c r="U389" s="694">
        <f t="shared" si="161"/>
        <v>33570</v>
      </c>
      <c r="V389" s="698">
        <f t="shared" si="162"/>
        <v>34320</v>
      </c>
      <c r="W389" s="679"/>
      <c r="X389" s="678"/>
      <c r="Y389" s="679"/>
      <c r="Z389" s="678"/>
      <c r="AA389" s="679"/>
      <c r="AB389" s="678"/>
      <c r="AC389" s="679"/>
      <c r="AD389" s="678"/>
      <c r="AE389" s="694">
        <f t="shared" si="163"/>
        <v>0</v>
      </c>
      <c r="AF389" s="695">
        <f t="shared" si="170"/>
        <v>0</v>
      </c>
      <c r="AG389" s="696">
        <f t="shared" si="164"/>
        <v>0</v>
      </c>
      <c r="AH389" s="697">
        <f t="shared" si="171"/>
        <v>0</v>
      </c>
      <c r="AI389" s="679"/>
      <c r="AJ389" s="678"/>
      <c r="AK389" s="694">
        <f t="shared" si="165"/>
        <v>0</v>
      </c>
      <c r="AL389" s="698">
        <f t="shared" si="166"/>
        <v>0</v>
      </c>
      <c r="AM389" s="679"/>
      <c r="AN389" s="678"/>
      <c r="AO389" s="679"/>
      <c r="AP389" s="687"/>
      <c r="AQ389" s="679"/>
      <c r="AR389" s="687"/>
      <c r="AS389" s="679"/>
      <c r="AT389" s="687"/>
      <c r="AU389" s="699">
        <f t="shared" si="172"/>
        <v>0</v>
      </c>
      <c r="AV389" s="695">
        <f t="shared" si="158"/>
        <v>0</v>
      </c>
      <c r="AW389" s="696">
        <f t="shared" si="173"/>
        <v>0</v>
      </c>
      <c r="AX389" s="697">
        <f t="shared" si="174"/>
        <v>0</v>
      </c>
      <c r="AY389" s="700">
        <f t="shared" si="167"/>
        <v>1119</v>
      </c>
      <c r="AZ389" s="697">
        <f t="shared" si="168"/>
        <v>1144</v>
      </c>
      <c r="BA389" s="680"/>
    </row>
    <row r="390" spans="1:53">
      <c r="A390" s="522" t="s">
        <v>532</v>
      </c>
      <c r="B390" s="523" t="s">
        <v>586</v>
      </c>
      <c r="C390" s="524">
        <v>199263</v>
      </c>
      <c r="D390" s="271">
        <v>10</v>
      </c>
      <c r="E390" s="148" t="s">
        <v>393</v>
      </c>
      <c r="F390" s="148" t="s">
        <v>393</v>
      </c>
      <c r="G390" s="706"/>
      <c r="H390" s="688"/>
      <c r="I390" s="706">
        <v>7170</v>
      </c>
      <c r="J390" s="707">
        <v>8520</v>
      </c>
      <c r="K390" s="706">
        <v>2460</v>
      </c>
      <c r="L390" s="707">
        <v>2820</v>
      </c>
      <c r="M390" s="706">
        <v>8310</v>
      </c>
      <c r="N390" s="708">
        <v>9180</v>
      </c>
      <c r="O390" s="694">
        <f t="shared" si="159"/>
        <v>17940</v>
      </c>
      <c r="P390" s="695">
        <f t="shared" si="157"/>
        <v>598</v>
      </c>
      <c r="Q390" s="696">
        <f t="shared" si="160"/>
        <v>20520</v>
      </c>
      <c r="R390" s="697">
        <f t="shared" si="169"/>
        <v>684</v>
      </c>
      <c r="S390" s="709">
        <v>1024.8</v>
      </c>
      <c r="T390" s="708">
        <v>1831.8000000000002</v>
      </c>
      <c r="U390" s="694">
        <f t="shared" si="161"/>
        <v>17940</v>
      </c>
      <c r="V390" s="698">
        <f t="shared" si="162"/>
        <v>20520</v>
      </c>
      <c r="W390" s="679"/>
      <c r="X390" s="678"/>
      <c r="Y390" s="679"/>
      <c r="Z390" s="678"/>
      <c r="AA390" s="679"/>
      <c r="AB390" s="678"/>
      <c r="AC390" s="679"/>
      <c r="AD390" s="678"/>
      <c r="AE390" s="694">
        <f t="shared" si="163"/>
        <v>0</v>
      </c>
      <c r="AF390" s="695">
        <f t="shared" si="170"/>
        <v>0</v>
      </c>
      <c r="AG390" s="696">
        <f t="shared" si="164"/>
        <v>0</v>
      </c>
      <c r="AH390" s="697">
        <f t="shared" si="171"/>
        <v>0</v>
      </c>
      <c r="AI390" s="679"/>
      <c r="AJ390" s="678"/>
      <c r="AK390" s="694">
        <f t="shared" si="165"/>
        <v>0</v>
      </c>
      <c r="AL390" s="698">
        <f t="shared" si="166"/>
        <v>0</v>
      </c>
      <c r="AM390" s="679"/>
      <c r="AN390" s="687"/>
      <c r="AO390" s="679"/>
      <c r="AP390" s="687"/>
      <c r="AQ390" s="679"/>
      <c r="AR390" s="687"/>
      <c r="AS390" s="679"/>
      <c r="AT390" s="687"/>
      <c r="AU390" s="699">
        <f t="shared" si="172"/>
        <v>0</v>
      </c>
      <c r="AV390" s="695">
        <f t="shared" si="158"/>
        <v>0</v>
      </c>
      <c r="AW390" s="696">
        <f t="shared" si="173"/>
        <v>0</v>
      </c>
      <c r="AX390" s="697">
        <f t="shared" si="174"/>
        <v>0</v>
      </c>
      <c r="AY390" s="700">
        <f t="shared" si="167"/>
        <v>598</v>
      </c>
      <c r="AZ390" s="697">
        <f t="shared" si="168"/>
        <v>684</v>
      </c>
      <c r="BA390" s="680"/>
    </row>
    <row r="391" spans="1:53">
      <c r="A391" s="522" t="s">
        <v>532</v>
      </c>
      <c r="B391" s="523" t="s">
        <v>587</v>
      </c>
      <c r="C391" s="524">
        <v>199467</v>
      </c>
      <c r="D391" s="271">
        <v>10</v>
      </c>
      <c r="E391" s="148" t="s">
        <v>393</v>
      </c>
      <c r="F391" s="148" t="s">
        <v>393</v>
      </c>
      <c r="G391" s="679"/>
      <c r="H391" s="678"/>
      <c r="I391" s="706">
        <v>11940</v>
      </c>
      <c r="J391" s="707">
        <v>13200</v>
      </c>
      <c r="K391" s="706">
        <v>2490</v>
      </c>
      <c r="L391" s="707">
        <v>2610</v>
      </c>
      <c r="M391" s="706">
        <v>14610</v>
      </c>
      <c r="N391" s="708">
        <v>15450</v>
      </c>
      <c r="O391" s="694">
        <f t="shared" si="159"/>
        <v>29040</v>
      </c>
      <c r="P391" s="695">
        <f t="shared" si="157"/>
        <v>968</v>
      </c>
      <c r="Q391" s="696">
        <f t="shared" si="160"/>
        <v>31260</v>
      </c>
      <c r="R391" s="697">
        <f t="shared" si="169"/>
        <v>1042</v>
      </c>
      <c r="S391" s="709">
        <v>1758.9</v>
      </c>
      <c r="T391" s="708">
        <v>1775.6999999999998</v>
      </c>
      <c r="U391" s="694">
        <f t="shared" si="161"/>
        <v>29040</v>
      </c>
      <c r="V391" s="698">
        <f t="shared" si="162"/>
        <v>31260</v>
      </c>
      <c r="W391" s="679"/>
      <c r="X391" s="678"/>
      <c r="Y391" s="679"/>
      <c r="Z391" s="678"/>
      <c r="AA391" s="679"/>
      <c r="AB391" s="678"/>
      <c r="AC391" s="679"/>
      <c r="AD391" s="678"/>
      <c r="AE391" s="694">
        <f t="shared" si="163"/>
        <v>0</v>
      </c>
      <c r="AF391" s="695">
        <f t="shared" si="170"/>
        <v>0</v>
      </c>
      <c r="AG391" s="696">
        <f t="shared" si="164"/>
        <v>0</v>
      </c>
      <c r="AH391" s="697">
        <f t="shared" si="171"/>
        <v>0</v>
      </c>
      <c r="AI391" s="679"/>
      <c r="AJ391" s="678"/>
      <c r="AK391" s="694">
        <f t="shared" si="165"/>
        <v>0</v>
      </c>
      <c r="AL391" s="698">
        <f t="shared" si="166"/>
        <v>0</v>
      </c>
      <c r="AM391" s="679"/>
      <c r="AN391" s="678"/>
      <c r="AO391" s="679"/>
      <c r="AP391" s="687"/>
      <c r="AQ391" s="679"/>
      <c r="AR391" s="687"/>
      <c r="AS391" s="679"/>
      <c r="AT391" s="687"/>
      <c r="AU391" s="699">
        <f t="shared" si="172"/>
        <v>0</v>
      </c>
      <c r="AV391" s="695">
        <f t="shared" si="158"/>
        <v>0</v>
      </c>
      <c r="AW391" s="696">
        <f t="shared" si="173"/>
        <v>0</v>
      </c>
      <c r="AX391" s="697">
        <f t="shared" si="174"/>
        <v>0</v>
      </c>
      <c r="AY391" s="700">
        <f t="shared" si="167"/>
        <v>968</v>
      </c>
      <c r="AZ391" s="697">
        <f t="shared" si="168"/>
        <v>1042</v>
      </c>
      <c r="BA391" s="680"/>
    </row>
    <row r="392" spans="1:53">
      <c r="A392" s="522" t="s">
        <v>532</v>
      </c>
      <c r="B392" s="523" t="s">
        <v>588</v>
      </c>
      <c r="C392" s="524">
        <v>199625</v>
      </c>
      <c r="D392" s="271">
        <v>10</v>
      </c>
      <c r="E392" s="148" t="s">
        <v>393</v>
      </c>
      <c r="F392" s="148" t="s">
        <v>393</v>
      </c>
      <c r="G392" s="679"/>
      <c r="H392" s="678"/>
      <c r="I392" s="706">
        <v>22050</v>
      </c>
      <c r="J392" s="707">
        <v>25560</v>
      </c>
      <c r="K392" s="706">
        <v>8490</v>
      </c>
      <c r="L392" s="707">
        <v>7530</v>
      </c>
      <c r="M392" s="706">
        <v>26940</v>
      </c>
      <c r="N392" s="708">
        <v>29010</v>
      </c>
      <c r="O392" s="694">
        <f t="shared" si="159"/>
        <v>57480</v>
      </c>
      <c r="P392" s="695">
        <f t="shared" si="157"/>
        <v>1916</v>
      </c>
      <c r="Q392" s="696">
        <f t="shared" si="160"/>
        <v>62100</v>
      </c>
      <c r="R392" s="697">
        <f t="shared" si="169"/>
        <v>2070</v>
      </c>
      <c r="S392" s="709">
        <v>3359.7</v>
      </c>
      <c r="T392" s="708">
        <v>4249.2</v>
      </c>
      <c r="U392" s="694">
        <f t="shared" si="161"/>
        <v>57480</v>
      </c>
      <c r="V392" s="698">
        <f t="shared" si="162"/>
        <v>62100</v>
      </c>
      <c r="W392" s="679"/>
      <c r="X392" s="678"/>
      <c r="Y392" s="679"/>
      <c r="Z392" s="678"/>
      <c r="AA392" s="679"/>
      <c r="AB392" s="678"/>
      <c r="AC392" s="679"/>
      <c r="AD392" s="678"/>
      <c r="AE392" s="694">
        <f t="shared" si="163"/>
        <v>0</v>
      </c>
      <c r="AF392" s="695">
        <f t="shared" si="170"/>
        <v>0</v>
      </c>
      <c r="AG392" s="696">
        <f t="shared" si="164"/>
        <v>0</v>
      </c>
      <c r="AH392" s="697">
        <f t="shared" si="171"/>
        <v>0</v>
      </c>
      <c r="AI392" s="679"/>
      <c r="AJ392" s="678"/>
      <c r="AK392" s="694">
        <f t="shared" si="165"/>
        <v>0</v>
      </c>
      <c r="AL392" s="698">
        <f t="shared" si="166"/>
        <v>0</v>
      </c>
      <c r="AM392" s="679"/>
      <c r="AN392" s="678"/>
      <c r="AO392" s="679"/>
      <c r="AP392" s="687"/>
      <c r="AQ392" s="679"/>
      <c r="AR392" s="687"/>
      <c r="AS392" s="679"/>
      <c r="AT392" s="687"/>
      <c r="AU392" s="699">
        <f t="shared" si="172"/>
        <v>0</v>
      </c>
      <c r="AV392" s="695">
        <f t="shared" si="158"/>
        <v>0</v>
      </c>
      <c r="AW392" s="696">
        <f t="shared" si="173"/>
        <v>0</v>
      </c>
      <c r="AX392" s="697">
        <f t="shared" si="174"/>
        <v>0</v>
      </c>
      <c r="AY392" s="700">
        <f t="shared" si="167"/>
        <v>1916</v>
      </c>
      <c r="AZ392" s="697">
        <f t="shared" si="168"/>
        <v>2070</v>
      </c>
      <c r="BA392" s="680"/>
    </row>
    <row r="393" spans="1:53">
      <c r="A393" s="522" t="s">
        <v>532</v>
      </c>
      <c r="B393" s="523" t="s">
        <v>589</v>
      </c>
      <c r="C393" s="524">
        <v>199795</v>
      </c>
      <c r="D393" s="271">
        <v>10</v>
      </c>
      <c r="E393" s="148" t="s">
        <v>393</v>
      </c>
      <c r="F393" s="148" t="s">
        <v>393</v>
      </c>
      <c r="G393" s="679"/>
      <c r="H393" s="678"/>
      <c r="I393" s="706">
        <v>14100</v>
      </c>
      <c r="J393" s="707">
        <v>17490</v>
      </c>
      <c r="K393" s="706">
        <v>4590</v>
      </c>
      <c r="L393" s="707">
        <v>5820</v>
      </c>
      <c r="M393" s="706">
        <v>16110</v>
      </c>
      <c r="N393" s="708">
        <v>18930</v>
      </c>
      <c r="O393" s="694">
        <f t="shared" si="159"/>
        <v>34800</v>
      </c>
      <c r="P393" s="695">
        <f t="shared" si="157"/>
        <v>1160</v>
      </c>
      <c r="Q393" s="696">
        <f t="shared" si="160"/>
        <v>42240</v>
      </c>
      <c r="R393" s="697">
        <f t="shared" si="169"/>
        <v>1408</v>
      </c>
      <c r="S393" s="709">
        <v>4919.3999999999996</v>
      </c>
      <c r="T393" s="708">
        <v>5328.3</v>
      </c>
      <c r="U393" s="694">
        <f t="shared" si="161"/>
        <v>34800</v>
      </c>
      <c r="V393" s="698">
        <f t="shared" si="162"/>
        <v>42240</v>
      </c>
      <c r="W393" s="679"/>
      <c r="X393" s="678"/>
      <c r="Y393" s="679"/>
      <c r="Z393" s="678"/>
      <c r="AA393" s="679"/>
      <c r="AB393" s="678"/>
      <c r="AC393" s="679"/>
      <c r="AD393" s="678"/>
      <c r="AE393" s="694">
        <f t="shared" si="163"/>
        <v>0</v>
      </c>
      <c r="AF393" s="695">
        <f t="shared" si="170"/>
        <v>0</v>
      </c>
      <c r="AG393" s="696">
        <f t="shared" si="164"/>
        <v>0</v>
      </c>
      <c r="AH393" s="697">
        <f t="shared" si="171"/>
        <v>0</v>
      </c>
      <c r="AI393" s="679"/>
      <c r="AJ393" s="678"/>
      <c r="AK393" s="694">
        <f t="shared" si="165"/>
        <v>0</v>
      </c>
      <c r="AL393" s="698">
        <f t="shared" si="166"/>
        <v>0</v>
      </c>
      <c r="AM393" s="679"/>
      <c r="AN393" s="678"/>
      <c r="AO393" s="679"/>
      <c r="AP393" s="687"/>
      <c r="AQ393" s="679"/>
      <c r="AR393" s="687"/>
      <c r="AS393" s="679"/>
      <c r="AT393" s="687"/>
      <c r="AU393" s="699">
        <f t="shared" si="172"/>
        <v>0</v>
      </c>
      <c r="AV393" s="695">
        <f t="shared" si="158"/>
        <v>0</v>
      </c>
      <c r="AW393" s="696">
        <f t="shared" si="173"/>
        <v>0</v>
      </c>
      <c r="AX393" s="697">
        <f t="shared" si="174"/>
        <v>0</v>
      </c>
      <c r="AY393" s="700">
        <f t="shared" si="167"/>
        <v>1160</v>
      </c>
      <c r="AZ393" s="697">
        <f t="shared" si="168"/>
        <v>1408</v>
      </c>
      <c r="BA393" s="680"/>
    </row>
    <row r="394" spans="1:53">
      <c r="A394" s="529" t="s">
        <v>659</v>
      </c>
      <c r="B394" s="294" t="s">
        <v>200</v>
      </c>
      <c r="C394" s="293">
        <v>207388</v>
      </c>
      <c r="D394" s="269">
        <v>1</v>
      </c>
      <c r="E394" s="148" t="s">
        <v>393</v>
      </c>
      <c r="F394" s="483"/>
      <c r="G394" s="679"/>
      <c r="H394" s="678"/>
      <c r="I394" s="706">
        <v>229086</v>
      </c>
      <c r="J394" s="688">
        <v>222529</v>
      </c>
      <c r="K394" s="706">
        <v>29807</v>
      </c>
      <c r="L394" s="688">
        <v>27241</v>
      </c>
      <c r="M394" s="706">
        <v>242557</v>
      </c>
      <c r="N394" s="687">
        <f>105118+133939</f>
        <v>239057</v>
      </c>
      <c r="O394" s="694">
        <f t="shared" si="159"/>
        <v>501450</v>
      </c>
      <c r="P394" s="695">
        <f t="shared" si="157"/>
        <v>16715</v>
      </c>
      <c r="Q394" s="696">
        <f t="shared" si="160"/>
        <v>488827</v>
      </c>
      <c r="R394" s="697">
        <f t="shared" si="169"/>
        <v>16294.233333333334</v>
      </c>
      <c r="S394" s="706">
        <v>989</v>
      </c>
      <c r="T394" s="687">
        <v>912</v>
      </c>
      <c r="U394" s="694">
        <f t="shared" si="161"/>
        <v>501450</v>
      </c>
      <c r="V394" s="698">
        <f t="shared" si="162"/>
        <v>488827</v>
      </c>
      <c r="W394" s="679"/>
      <c r="X394" s="678"/>
      <c r="Y394" s="679"/>
      <c r="Z394" s="678"/>
      <c r="AA394" s="679"/>
      <c r="AB394" s="678"/>
      <c r="AC394" s="679"/>
      <c r="AD394" s="678"/>
      <c r="AE394" s="694">
        <f t="shared" si="163"/>
        <v>0</v>
      </c>
      <c r="AF394" s="695">
        <f t="shared" si="170"/>
        <v>0</v>
      </c>
      <c r="AG394" s="696">
        <f t="shared" si="164"/>
        <v>0</v>
      </c>
      <c r="AH394" s="697">
        <f t="shared" si="171"/>
        <v>0</v>
      </c>
      <c r="AI394" s="679"/>
      <c r="AJ394" s="678"/>
      <c r="AK394" s="694">
        <f t="shared" si="165"/>
        <v>0</v>
      </c>
      <c r="AL394" s="698">
        <f t="shared" si="166"/>
        <v>0</v>
      </c>
      <c r="AM394" s="679"/>
      <c r="AN394" s="678"/>
      <c r="AO394" s="679">
        <v>27786</v>
      </c>
      <c r="AP394" s="687">
        <v>29132</v>
      </c>
      <c r="AQ394" s="679">
        <v>9447</v>
      </c>
      <c r="AR394" s="687">
        <v>10221</v>
      </c>
      <c r="AS394" s="679">
        <v>30119</v>
      </c>
      <c r="AT394" s="687">
        <v>31549</v>
      </c>
      <c r="AU394" s="699">
        <f t="shared" si="172"/>
        <v>67352</v>
      </c>
      <c r="AV394" s="695">
        <f t="shared" si="158"/>
        <v>2806.3333333333335</v>
      </c>
      <c r="AW394" s="696">
        <f t="shared" si="173"/>
        <v>70902</v>
      </c>
      <c r="AX394" s="697">
        <f t="shared" si="174"/>
        <v>2954.25</v>
      </c>
      <c r="AY394" s="700">
        <f t="shared" si="167"/>
        <v>19521.333333333332</v>
      </c>
      <c r="AZ394" s="697">
        <f t="shared" si="168"/>
        <v>19248.483333333334</v>
      </c>
      <c r="BA394" s="680"/>
    </row>
    <row r="395" spans="1:53">
      <c r="A395" s="529" t="s">
        <v>659</v>
      </c>
      <c r="B395" s="294" t="s">
        <v>201</v>
      </c>
      <c r="C395" s="293">
        <v>207500</v>
      </c>
      <c r="D395" s="269">
        <v>1</v>
      </c>
      <c r="E395" s="148" t="s">
        <v>393</v>
      </c>
      <c r="F395" s="483"/>
      <c r="G395" s="679"/>
      <c r="H395" s="678"/>
      <c r="I395" s="706">
        <v>253520</v>
      </c>
      <c r="J395" s="688">
        <v>258599</v>
      </c>
      <c r="K395" s="706">
        <v>32732</v>
      </c>
      <c r="L395" s="688">
        <v>34927</v>
      </c>
      <c r="M395" s="706">
        <v>275747</v>
      </c>
      <c r="N395" s="687">
        <f>97442+162693+17362</f>
        <v>277497</v>
      </c>
      <c r="O395" s="694">
        <f t="shared" si="159"/>
        <v>561999</v>
      </c>
      <c r="P395" s="695">
        <f t="shared" si="157"/>
        <v>18733.3</v>
      </c>
      <c r="Q395" s="696">
        <f t="shared" si="160"/>
        <v>571023</v>
      </c>
      <c r="R395" s="697">
        <f t="shared" si="169"/>
        <v>19034.099999999999</v>
      </c>
      <c r="S395" s="706">
        <v>336</v>
      </c>
      <c r="T395" s="687">
        <v>335</v>
      </c>
      <c r="U395" s="694">
        <f t="shared" si="161"/>
        <v>561999</v>
      </c>
      <c r="V395" s="698">
        <f t="shared" si="162"/>
        <v>571023</v>
      </c>
      <c r="W395" s="679"/>
      <c r="X395" s="678"/>
      <c r="Y395" s="679"/>
      <c r="Z395" s="678"/>
      <c r="AA395" s="679"/>
      <c r="AB395" s="678"/>
      <c r="AC395" s="679"/>
      <c r="AD395" s="678"/>
      <c r="AE395" s="694">
        <f t="shared" si="163"/>
        <v>0</v>
      </c>
      <c r="AF395" s="695">
        <f t="shared" si="170"/>
        <v>0</v>
      </c>
      <c r="AG395" s="696">
        <f t="shared" si="164"/>
        <v>0</v>
      </c>
      <c r="AH395" s="697">
        <f t="shared" si="171"/>
        <v>0</v>
      </c>
      <c r="AI395" s="679"/>
      <c r="AJ395" s="678"/>
      <c r="AK395" s="694">
        <f t="shared" si="165"/>
        <v>0</v>
      </c>
      <c r="AL395" s="698">
        <f t="shared" si="166"/>
        <v>0</v>
      </c>
      <c r="AM395" s="679"/>
      <c r="AN395" s="678"/>
      <c r="AO395" s="679">
        <v>46754</v>
      </c>
      <c r="AP395" s="687">
        <v>48059</v>
      </c>
      <c r="AQ395" s="679">
        <v>18775</v>
      </c>
      <c r="AR395" s="687">
        <v>17678</v>
      </c>
      <c r="AS395" s="679">
        <v>49063</v>
      </c>
      <c r="AT395" s="687">
        <f>41933+9078</f>
        <v>51011</v>
      </c>
      <c r="AU395" s="699">
        <f t="shared" si="172"/>
        <v>114592</v>
      </c>
      <c r="AV395" s="695">
        <f t="shared" si="158"/>
        <v>4774.666666666667</v>
      </c>
      <c r="AW395" s="696">
        <f t="shared" si="173"/>
        <v>116748</v>
      </c>
      <c r="AX395" s="697">
        <f t="shared" si="174"/>
        <v>4864.5</v>
      </c>
      <c r="AY395" s="700">
        <f t="shared" si="167"/>
        <v>23507.966666666667</v>
      </c>
      <c r="AZ395" s="697">
        <f t="shared" si="168"/>
        <v>23898.6</v>
      </c>
      <c r="BA395" s="680"/>
    </row>
    <row r="396" spans="1:53">
      <c r="A396" s="529" t="s">
        <v>659</v>
      </c>
      <c r="B396" s="294" t="s">
        <v>202</v>
      </c>
      <c r="C396" s="293">
        <v>207263</v>
      </c>
      <c r="D396" s="269">
        <v>3</v>
      </c>
      <c r="E396" s="148" t="s">
        <v>393</v>
      </c>
      <c r="F396" s="483"/>
      <c r="G396" s="679"/>
      <c r="H396" s="678"/>
      <c r="I396" s="706">
        <v>90263</v>
      </c>
      <c r="J396" s="688">
        <v>86414</v>
      </c>
      <c r="K396" s="706">
        <v>15324</v>
      </c>
      <c r="L396" s="688">
        <v>16791</v>
      </c>
      <c r="M396" s="706">
        <v>92752</v>
      </c>
      <c r="N396" s="687">
        <f>37652+57958</f>
        <v>95610</v>
      </c>
      <c r="O396" s="694">
        <f t="shared" si="159"/>
        <v>198339</v>
      </c>
      <c r="P396" s="695">
        <f t="shared" si="157"/>
        <v>6611.3</v>
      </c>
      <c r="Q396" s="696">
        <f t="shared" si="160"/>
        <v>198815</v>
      </c>
      <c r="R396" s="697">
        <f t="shared" si="169"/>
        <v>6627.166666666667</v>
      </c>
      <c r="S396" s="706">
        <v>983</v>
      </c>
      <c r="T396" s="687">
        <v>1113</v>
      </c>
      <c r="U396" s="694">
        <f t="shared" si="161"/>
        <v>198339</v>
      </c>
      <c r="V396" s="698">
        <f t="shared" si="162"/>
        <v>198815</v>
      </c>
      <c r="W396" s="679"/>
      <c r="X396" s="678"/>
      <c r="Y396" s="679"/>
      <c r="Z396" s="678"/>
      <c r="AA396" s="679"/>
      <c r="AB396" s="678"/>
      <c r="AC396" s="679"/>
      <c r="AD396" s="678"/>
      <c r="AE396" s="694">
        <f t="shared" si="163"/>
        <v>0</v>
      </c>
      <c r="AF396" s="695">
        <f t="shared" si="170"/>
        <v>0</v>
      </c>
      <c r="AG396" s="696">
        <f t="shared" si="164"/>
        <v>0</v>
      </c>
      <c r="AH396" s="697">
        <f t="shared" si="171"/>
        <v>0</v>
      </c>
      <c r="AI396" s="679"/>
      <c r="AJ396" s="678"/>
      <c r="AK396" s="694">
        <f t="shared" si="165"/>
        <v>0</v>
      </c>
      <c r="AL396" s="698">
        <f t="shared" si="166"/>
        <v>0</v>
      </c>
      <c r="AM396" s="679"/>
      <c r="AN396" s="678"/>
      <c r="AO396" s="679">
        <v>5804</v>
      </c>
      <c r="AP396" s="687">
        <v>6531</v>
      </c>
      <c r="AQ396" s="679">
        <v>2494</v>
      </c>
      <c r="AR396" s="687">
        <v>3006</v>
      </c>
      <c r="AS396" s="679">
        <v>6516</v>
      </c>
      <c r="AT396" s="687">
        <v>7445</v>
      </c>
      <c r="AU396" s="699">
        <f t="shared" si="172"/>
        <v>14814</v>
      </c>
      <c r="AV396" s="695">
        <f t="shared" si="158"/>
        <v>617.25</v>
      </c>
      <c r="AW396" s="696">
        <f t="shared" si="173"/>
        <v>16982</v>
      </c>
      <c r="AX396" s="697">
        <f t="shared" si="174"/>
        <v>707.58333333333337</v>
      </c>
      <c r="AY396" s="700">
        <f t="shared" si="167"/>
        <v>7228.55</v>
      </c>
      <c r="AZ396" s="697">
        <f t="shared" si="168"/>
        <v>7334.75</v>
      </c>
      <c r="BA396" s="680"/>
    </row>
    <row r="397" spans="1:53">
      <c r="A397" s="529" t="s">
        <v>659</v>
      </c>
      <c r="B397" s="294" t="s">
        <v>203</v>
      </c>
      <c r="C397" s="293">
        <v>206941</v>
      </c>
      <c r="D397" s="269">
        <v>3</v>
      </c>
      <c r="E397" s="148" t="s">
        <v>393</v>
      </c>
      <c r="F397" s="483"/>
      <c r="G397" s="679"/>
      <c r="H397" s="678"/>
      <c r="I397" s="706">
        <v>135993</v>
      </c>
      <c r="J397" s="688">
        <v>136157</v>
      </c>
      <c r="K397" s="706">
        <v>22675</v>
      </c>
      <c r="L397" s="688">
        <v>22279</v>
      </c>
      <c r="M397" s="706">
        <v>149369</v>
      </c>
      <c r="N397" s="687">
        <f>65079+99931</f>
        <v>165010</v>
      </c>
      <c r="O397" s="694">
        <f t="shared" si="159"/>
        <v>308037</v>
      </c>
      <c r="P397" s="695">
        <f t="shared" si="157"/>
        <v>10267.9</v>
      </c>
      <c r="Q397" s="696">
        <f t="shared" si="160"/>
        <v>323446</v>
      </c>
      <c r="R397" s="697">
        <f t="shared" si="169"/>
        <v>10781.533333333333</v>
      </c>
      <c r="S397" s="706">
        <v>2279</v>
      </c>
      <c r="T397" s="710">
        <v>1578</v>
      </c>
      <c r="U397" s="694">
        <f t="shared" si="161"/>
        <v>308037</v>
      </c>
      <c r="V397" s="698">
        <f t="shared" si="162"/>
        <v>323446</v>
      </c>
      <c r="W397" s="679"/>
      <c r="X397" s="678"/>
      <c r="Y397" s="679"/>
      <c r="Z397" s="678"/>
      <c r="AA397" s="679"/>
      <c r="AB397" s="678"/>
      <c r="AC397" s="679"/>
      <c r="AD397" s="678"/>
      <c r="AE397" s="694">
        <f t="shared" si="163"/>
        <v>0</v>
      </c>
      <c r="AF397" s="695">
        <f t="shared" si="170"/>
        <v>0</v>
      </c>
      <c r="AG397" s="696">
        <f t="shared" si="164"/>
        <v>0</v>
      </c>
      <c r="AH397" s="697">
        <f t="shared" si="171"/>
        <v>0</v>
      </c>
      <c r="AI397" s="679"/>
      <c r="AJ397" s="678"/>
      <c r="AK397" s="694">
        <f t="shared" si="165"/>
        <v>0</v>
      </c>
      <c r="AL397" s="698">
        <f t="shared" si="166"/>
        <v>0</v>
      </c>
      <c r="AM397" s="679"/>
      <c r="AN397" s="678"/>
      <c r="AO397" s="679">
        <v>9294</v>
      </c>
      <c r="AP397" s="687">
        <v>10415</v>
      </c>
      <c r="AQ397" s="679">
        <v>3990</v>
      </c>
      <c r="AR397" s="687">
        <v>4238</v>
      </c>
      <c r="AS397" s="679">
        <v>10255</v>
      </c>
      <c r="AT397" s="687">
        <v>12460</v>
      </c>
      <c r="AU397" s="699">
        <f t="shared" si="172"/>
        <v>23539</v>
      </c>
      <c r="AV397" s="695">
        <f t="shared" si="158"/>
        <v>980.79166666666663</v>
      </c>
      <c r="AW397" s="696">
        <f t="shared" si="173"/>
        <v>27113</v>
      </c>
      <c r="AX397" s="697">
        <f t="shared" si="174"/>
        <v>1129.7083333333333</v>
      </c>
      <c r="AY397" s="700">
        <f t="shared" si="167"/>
        <v>11248.691666666666</v>
      </c>
      <c r="AZ397" s="697">
        <f t="shared" si="168"/>
        <v>11911.241666666667</v>
      </c>
      <c r="BA397" s="680"/>
    </row>
    <row r="398" spans="1:53">
      <c r="A398" s="529" t="s">
        <v>659</v>
      </c>
      <c r="B398" s="294" t="s">
        <v>204</v>
      </c>
      <c r="C398" s="293">
        <v>206914</v>
      </c>
      <c r="D398" s="269">
        <v>5</v>
      </c>
      <c r="E398" s="148" t="s">
        <v>393</v>
      </c>
      <c r="F398" s="483"/>
      <c r="G398" s="679"/>
      <c r="H398" s="678"/>
      <c r="I398" s="706">
        <v>51587</v>
      </c>
      <c r="J398" s="688">
        <v>52911</v>
      </c>
      <c r="K398" s="706">
        <v>11580</v>
      </c>
      <c r="L398" s="688">
        <v>12047</v>
      </c>
      <c r="M398" s="706">
        <v>55018</v>
      </c>
      <c r="N398" s="687">
        <f>40953+21154</f>
        <v>62107</v>
      </c>
      <c r="O398" s="694">
        <f t="shared" si="159"/>
        <v>118185</v>
      </c>
      <c r="P398" s="695">
        <f t="shared" si="157"/>
        <v>3939.5</v>
      </c>
      <c r="Q398" s="696">
        <f t="shared" si="160"/>
        <v>127065</v>
      </c>
      <c r="R398" s="697">
        <f t="shared" si="169"/>
        <v>4235.5</v>
      </c>
      <c r="S398" s="706">
        <v>1612</v>
      </c>
      <c r="T398" s="687">
        <v>1686</v>
      </c>
      <c r="U398" s="694">
        <f t="shared" si="161"/>
        <v>118185</v>
      </c>
      <c r="V398" s="698">
        <f t="shared" si="162"/>
        <v>127065</v>
      </c>
      <c r="W398" s="679"/>
      <c r="X398" s="678"/>
      <c r="Y398" s="679"/>
      <c r="Z398" s="678"/>
      <c r="AA398" s="679"/>
      <c r="AB398" s="678"/>
      <c r="AC398" s="679"/>
      <c r="AD398" s="678"/>
      <c r="AE398" s="694">
        <f t="shared" si="163"/>
        <v>0</v>
      </c>
      <c r="AF398" s="695">
        <f t="shared" si="170"/>
        <v>0</v>
      </c>
      <c r="AG398" s="696">
        <f t="shared" si="164"/>
        <v>0</v>
      </c>
      <c r="AH398" s="697">
        <f t="shared" si="171"/>
        <v>0</v>
      </c>
      <c r="AI398" s="679"/>
      <c r="AJ398" s="678"/>
      <c r="AK398" s="694">
        <f t="shared" si="165"/>
        <v>0</v>
      </c>
      <c r="AL398" s="698">
        <f t="shared" si="166"/>
        <v>0</v>
      </c>
      <c r="AM398" s="679"/>
      <c r="AN398" s="678"/>
      <c r="AO398" s="679">
        <v>2675</v>
      </c>
      <c r="AP398" s="687">
        <v>2411</v>
      </c>
      <c r="AQ398" s="679">
        <v>978</v>
      </c>
      <c r="AR398" s="687">
        <v>1021</v>
      </c>
      <c r="AS398" s="679">
        <v>2533</v>
      </c>
      <c r="AT398" s="687">
        <v>3000</v>
      </c>
      <c r="AU398" s="699">
        <f t="shared" si="172"/>
        <v>6186</v>
      </c>
      <c r="AV398" s="695">
        <f t="shared" si="158"/>
        <v>257.75</v>
      </c>
      <c r="AW398" s="696">
        <f t="shared" si="173"/>
        <v>6432</v>
      </c>
      <c r="AX398" s="697">
        <f t="shared" si="174"/>
        <v>268</v>
      </c>
      <c r="AY398" s="700">
        <f t="shared" si="167"/>
        <v>4197.25</v>
      </c>
      <c r="AZ398" s="697">
        <f t="shared" si="168"/>
        <v>4503.5</v>
      </c>
      <c r="BA398" s="680"/>
    </row>
    <row r="399" spans="1:53">
      <c r="A399" s="529" t="s">
        <v>659</v>
      </c>
      <c r="B399" s="294" t="s">
        <v>205</v>
      </c>
      <c r="C399" s="293">
        <v>207041</v>
      </c>
      <c r="D399" s="269">
        <v>5</v>
      </c>
      <c r="E399" s="148" t="s">
        <v>393</v>
      </c>
      <c r="F399" s="483"/>
      <c r="G399" s="679"/>
      <c r="H399" s="678"/>
      <c r="I399" s="706">
        <v>43116</v>
      </c>
      <c r="J399" s="688">
        <v>42739</v>
      </c>
      <c r="K399" s="706">
        <v>7688</v>
      </c>
      <c r="L399" s="688">
        <v>8179</v>
      </c>
      <c r="M399" s="706">
        <v>45362</v>
      </c>
      <c r="N399" s="687">
        <f>20877+26777</f>
        <v>47654</v>
      </c>
      <c r="O399" s="694">
        <f t="shared" si="159"/>
        <v>96166</v>
      </c>
      <c r="P399" s="695">
        <f t="shared" ref="P399:P462" si="175">+O399/30</f>
        <v>3205.5333333333333</v>
      </c>
      <c r="Q399" s="696">
        <f t="shared" si="160"/>
        <v>98572</v>
      </c>
      <c r="R399" s="697">
        <f t="shared" si="169"/>
        <v>3285.7333333333331</v>
      </c>
      <c r="S399" s="706">
        <v>384</v>
      </c>
      <c r="T399" s="687">
        <v>491</v>
      </c>
      <c r="U399" s="694">
        <f t="shared" si="161"/>
        <v>96166</v>
      </c>
      <c r="V399" s="698">
        <f t="shared" si="162"/>
        <v>98572</v>
      </c>
      <c r="W399" s="679"/>
      <c r="X399" s="678"/>
      <c r="Y399" s="679"/>
      <c r="Z399" s="678"/>
      <c r="AA399" s="679"/>
      <c r="AB399" s="678"/>
      <c r="AC399" s="679"/>
      <c r="AD399" s="678"/>
      <c r="AE399" s="694">
        <f t="shared" si="163"/>
        <v>0</v>
      </c>
      <c r="AF399" s="695">
        <f t="shared" si="170"/>
        <v>0</v>
      </c>
      <c r="AG399" s="696">
        <f t="shared" si="164"/>
        <v>0</v>
      </c>
      <c r="AH399" s="697">
        <f t="shared" si="171"/>
        <v>0</v>
      </c>
      <c r="AI399" s="679"/>
      <c r="AJ399" s="678"/>
      <c r="AK399" s="694">
        <f t="shared" si="165"/>
        <v>0</v>
      </c>
      <c r="AL399" s="698">
        <f t="shared" si="166"/>
        <v>0</v>
      </c>
      <c r="AM399" s="679"/>
      <c r="AN399" s="678"/>
      <c r="AO399" s="679">
        <v>5423</v>
      </c>
      <c r="AP399" s="687">
        <v>5254</v>
      </c>
      <c r="AQ399" s="679">
        <v>4743</v>
      </c>
      <c r="AR399" s="687">
        <v>4331</v>
      </c>
      <c r="AS399" s="679">
        <v>5225</v>
      </c>
      <c r="AT399" s="687">
        <v>5497</v>
      </c>
      <c r="AU399" s="699">
        <f t="shared" si="172"/>
        <v>15391</v>
      </c>
      <c r="AV399" s="695">
        <f t="shared" si="158"/>
        <v>641.29166666666663</v>
      </c>
      <c r="AW399" s="696">
        <f t="shared" si="173"/>
        <v>15082</v>
      </c>
      <c r="AX399" s="697">
        <f t="shared" si="174"/>
        <v>628.41666666666663</v>
      </c>
      <c r="AY399" s="700">
        <f t="shared" si="167"/>
        <v>3846.8249999999998</v>
      </c>
      <c r="AZ399" s="697">
        <f t="shared" si="168"/>
        <v>3914.1499999999996</v>
      </c>
      <c r="BA399" s="680"/>
    </row>
    <row r="400" spans="1:53">
      <c r="A400" s="529" t="s">
        <v>659</v>
      </c>
      <c r="B400" s="294" t="s">
        <v>206</v>
      </c>
      <c r="C400" s="293">
        <v>207209</v>
      </c>
      <c r="D400" s="269">
        <v>5</v>
      </c>
      <c r="E400" s="148" t="s">
        <v>393</v>
      </c>
      <c r="F400" s="483"/>
      <c r="G400" s="679"/>
      <c r="H400" s="678"/>
      <c r="I400" s="706">
        <v>29605</v>
      </c>
      <c r="J400" s="688">
        <v>29415</v>
      </c>
      <c r="K400" s="706">
        <v>4235</v>
      </c>
      <c r="L400" s="688">
        <v>4228</v>
      </c>
      <c r="M400" s="706">
        <v>32351</v>
      </c>
      <c r="N400" s="687">
        <f>19533+12075</f>
        <v>31608</v>
      </c>
      <c r="O400" s="694">
        <f t="shared" si="159"/>
        <v>66191</v>
      </c>
      <c r="P400" s="695">
        <f t="shared" si="175"/>
        <v>2206.3666666666668</v>
      </c>
      <c r="Q400" s="696">
        <f t="shared" si="160"/>
        <v>65251</v>
      </c>
      <c r="R400" s="697">
        <f t="shared" si="169"/>
        <v>2175.0333333333333</v>
      </c>
      <c r="S400" s="706"/>
      <c r="T400" s="687">
        <v>6</v>
      </c>
      <c r="U400" s="694">
        <f t="shared" si="161"/>
        <v>0</v>
      </c>
      <c r="V400" s="698">
        <f t="shared" si="162"/>
        <v>65251</v>
      </c>
      <c r="W400" s="679"/>
      <c r="X400" s="678"/>
      <c r="Y400" s="679"/>
      <c r="Z400" s="678"/>
      <c r="AA400" s="679"/>
      <c r="AB400" s="678"/>
      <c r="AC400" s="679"/>
      <c r="AD400" s="678"/>
      <c r="AE400" s="694">
        <f t="shared" si="163"/>
        <v>0</v>
      </c>
      <c r="AF400" s="695">
        <f t="shared" si="170"/>
        <v>0</v>
      </c>
      <c r="AG400" s="696">
        <f t="shared" si="164"/>
        <v>0</v>
      </c>
      <c r="AH400" s="697">
        <f t="shared" si="171"/>
        <v>0</v>
      </c>
      <c r="AI400" s="679"/>
      <c r="AJ400" s="678"/>
      <c r="AK400" s="694">
        <f t="shared" si="165"/>
        <v>0</v>
      </c>
      <c r="AL400" s="698">
        <f t="shared" si="166"/>
        <v>0</v>
      </c>
      <c r="AM400" s="679"/>
      <c r="AN400" s="678"/>
      <c r="AO400" s="679">
        <v>2539</v>
      </c>
      <c r="AP400" s="687">
        <v>2745</v>
      </c>
      <c r="AQ400" s="711">
        <f>992+273</f>
        <v>1265</v>
      </c>
      <c r="AR400" s="687">
        <v>1521</v>
      </c>
      <c r="AS400" s="679">
        <v>2095</v>
      </c>
      <c r="AT400" s="687">
        <v>2641</v>
      </c>
      <c r="AU400" s="699">
        <f t="shared" si="172"/>
        <v>5899</v>
      </c>
      <c r="AV400" s="695">
        <f t="shared" si="158"/>
        <v>245.79166666666666</v>
      </c>
      <c r="AW400" s="696">
        <f t="shared" si="173"/>
        <v>6907</v>
      </c>
      <c r="AX400" s="697">
        <f t="shared" si="174"/>
        <v>287.79166666666669</v>
      </c>
      <c r="AY400" s="700">
        <f t="shared" si="167"/>
        <v>2452.1583333333333</v>
      </c>
      <c r="AZ400" s="697">
        <f t="shared" si="168"/>
        <v>2462.8249999999998</v>
      </c>
      <c r="BA400" s="680"/>
    </row>
    <row r="401" spans="1:53">
      <c r="A401" s="529" t="s">
        <v>659</v>
      </c>
      <c r="B401" s="294" t="s">
        <v>207</v>
      </c>
      <c r="C401" s="293">
        <v>207306</v>
      </c>
      <c r="D401" s="269">
        <v>5</v>
      </c>
      <c r="E401" s="148" t="s">
        <v>393</v>
      </c>
      <c r="F401" s="483"/>
      <c r="G401" s="679"/>
      <c r="H401" s="678"/>
      <c r="I401" s="706">
        <v>21035</v>
      </c>
      <c r="J401" s="688">
        <v>21297</v>
      </c>
      <c r="K401" s="706">
        <v>3732</v>
      </c>
      <c r="L401" s="688">
        <v>3858</v>
      </c>
      <c r="M401" s="706">
        <v>22838</v>
      </c>
      <c r="N401" s="687">
        <f>13804+11216</f>
        <v>25020</v>
      </c>
      <c r="O401" s="694">
        <f t="shared" si="159"/>
        <v>47605</v>
      </c>
      <c r="P401" s="695">
        <f t="shared" si="175"/>
        <v>1586.8333333333333</v>
      </c>
      <c r="Q401" s="696">
        <f t="shared" si="160"/>
        <v>50175</v>
      </c>
      <c r="R401" s="697">
        <f t="shared" si="169"/>
        <v>1672.5</v>
      </c>
      <c r="S401" s="706">
        <v>461</v>
      </c>
      <c r="T401" s="687">
        <v>529</v>
      </c>
      <c r="U401" s="694">
        <f t="shared" si="161"/>
        <v>47605</v>
      </c>
      <c r="V401" s="698">
        <f t="shared" si="162"/>
        <v>50175</v>
      </c>
      <c r="W401" s="679"/>
      <c r="X401" s="678"/>
      <c r="Y401" s="679"/>
      <c r="Z401" s="678"/>
      <c r="AA401" s="679"/>
      <c r="AB401" s="678"/>
      <c r="AC401" s="679"/>
      <c r="AD401" s="678"/>
      <c r="AE401" s="694">
        <f t="shared" si="163"/>
        <v>0</v>
      </c>
      <c r="AF401" s="695">
        <f t="shared" si="170"/>
        <v>0</v>
      </c>
      <c r="AG401" s="696">
        <f t="shared" si="164"/>
        <v>0</v>
      </c>
      <c r="AH401" s="697">
        <f t="shared" si="171"/>
        <v>0</v>
      </c>
      <c r="AI401" s="679"/>
      <c r="AJ401" s="678"/>
      <c r="AK401" s="694">
        <f t="shared" si="165"/>
        <v>0</v>
      </c>
      <c r="AL401" s="698">
        <f t="shared" si="166"/>
        <v>0</v>
      </c>
      <c r="AM401" s="679"/>
      <c r="AN401" s="678"/>
      <c r="AO401" s="679">
        <v>1593</v>
      </c>
      <c r="AP401" s="687">
        <v>1479</v>
      </c>
      <c r="AQ401" s="679">
        <v>1026</v>
      </c>
      <c r="AR401" s="687">
        <v>830</v>
      </c>
      <c r="AS401" s="679">
        <v>1531</v>
      </c>
      <c r="AT401" s="687">
        <v>1589</v>
      </c>
      <c r="AU401" s="699">
        <f t="shared" si="172"/>
        <v>4150</v>
      </c>
      <c r="AV401" s="695">
        <f t="shared" si="158"/>
        <v>172.91666666666666</v>
      </c>
      <c r="AW401" s="696">
        <f t="shared" si="173"/>
        <v>3898</v>
      </c>
      <c r="AX401" s="697">
        <f t="shared" si="174"/>
        <v>162.41666666666666</v>
      </c>
      <c r="AY401" s="700">
        <f t="shared" si="167"/>
        <v>1759.75</v>
      </c>
      <c r="AZ401" s="697">
        <f t="shared" si="168"/>
        <v>1834.9166666666667</v>
      </c>
      <c r="BA401" s="680"/>
    </row>
    <row r="402" spans="1:53">
      <c r="A402" s="529" t="s">
        <v>659</v>
      </c>
      <c r="B402" s="294" t="s">
        <v>208</v>
      </c>
      <c r="C402" s="293">
        <v>207847</v>
      </c>
      <c r="D402" s="269">
        <v>5</v>
      </c>
      <c r="E402" s="148" t="s">
        <v>393</v>
      </c>
      <c r="F402" s="483"/>
      <c r="G402" s="679"/>
      <c r="H402" s="678"/>
      <c r="I402" s="706">
        <v>39183</v>
      </c>
      <c r="J402" s="688">
        <v>40229</v>
      </c>
      <c r="K402" s="706">
        <v>7890</v>
      </c>
      <c r="L402" s="688">
        <v>8507</v>
      </c>
      <c r="M402" s="706">
        <v>43124</v>
      </c>
      <c r="N402" s="687">
        <f>23858+22964</f>
        <v>46822</v>
      </c>
      <c r="O402" s="694">
        <f t="shared" si="159"/>
        <v>90197</v>
      </c>
      <c r="P402" s="695">
        <f t="shared" si="175"/>
        <v>3006.5666666666666</v>
      </c>
      <c r="Q402" s="696">
        <f t="shared" si="160"/>
        <v>95558</v>
      </c>
      <c r="R402" s="697">
        <f t="shared" si="169"/>
        <v>3185.2666666666669</v>
      </c>
      <c r="S402" s="706">
        <v>1496</v>
      </c>
      <c r="T402" s="687">
        <v>1519</v>
      </c>
      <c r="U402" s="694">
        <f t="shared" si="161"/>
        <v>90197</v>
      </c>
      <c r="V402" s="698">
        <f t="shared" si="162"/>
        <v>95558</v>
      </c>
      <c r="W402" s="679"/>
      <c r="X402" s="678"/>
      <c r="Y402" s="679"/>
      <c r="Z402" s="678"/>
      <c r="AA402" s="679"/>
      <c r="AB402" s="678"/>
      <c r="AC402" s="679"/>
      <c r="AD402" s="678"/>
      <c r="AE402" s="694">
        <f t="shared" si="163"/>
        <v>0</v>
      </c>
      <c r="AF402" s="695">
        <f t="shared" si="170"/>
        <v>0</v>
      </c>
      <c r="AG402" s="696">
        <f t="shared" si="164"/>
        <v>0</v>
      </c>
      <c r="AH402" s="697">
        <f t="shared" si="171"/>
        <v>0</v>
      </c>
      <c r="AI402" s="679"/>
      <c r="AJ402" s="678"/>
      <c r="AK402" s="694">
        <f t="shared" si="165"/>
        <v>0</v>
      </c>
      <c r="AL402" s="698">
        <f t="shared" si="166"/>
        <v>0</v>
      </c>
      <c r="AM402" s="679"/>
      <c r="AN402" s="678"/>
      <c r="AO402" s="679">
        <v>2429</v>
      </c>
      <c r="AP402" s="678">
        <v>2613</v>
      </c>
      <c r="AQ402" s="679">
        <v>1118</v>
      </c>
      <c r="AR402" s="678">
        <v>1250</v>
      </c>
      <c r="AS402" s="679">
        <v>2468</v>
      </c>
      <c r="AT402" s="678">
        <v>2715</v>
      </c>
      <c r="AU402" s="699">
        <f t="shared" si="172"/>
        <v>6015</v>
      </c>
      <c r="AV402" s="695">
        <f t="shared" si="158"/>
        <v>250.625</v>
      </c>
      <c r="AW402" s="696">
        <f t="shared" si="173"/>
        <v>6578</v>
      </c>
      <c r="AX402" s="697">
        <f t="shared" si="174"/>
        <v>274.08333333333331</v>
      </c>
      <c r="AY402" s="700">
        <f t="shared" si="167"/>
        <v>3257.1916666666666</v>
      </c>
      <c r="AZ402" s="697">
        <f t="shared" si="168"/>
        <v>3459.3500000000004</v>
      </c>
      <c r="BA402" s="680"/>
    </row>
    <row r="403" spans="1:53">
      <c r="A403" s="529" t="s">
        <v>659</v>
      </c>
      <c r="B403" s="294" t="s">
        <v>209</v>
      </c>
      <c r="C403" s="293">
        <v>207865</v>
      </c>
      <c r="D403" s="269">
        <v>5</v>
      </c>
      <c r="E403" s="148" t="s">
        <v>393</v>
      </c>
      <c r="F403" s="483"/>
      <c r="G403" s="679"/>
      <c r="H403" s="678"/>
      <c r="I403" s="706">
        <v>50107</v>
      </c>
      <c r="J403" s="688">
        <v>49817</v>
      </c>
      <c r="K403" s="706">
        <v>6480</v>
      </c>
      <c r="L403" s="688">
        <v>7568</v>
      </c>
      <c r="M403" s="706">
        <v>53736</v>
      </c>
      <c r="N403" s="687">
        <f>34373+20733</f>
        <v>55106</v>
      </c>
      <c r="O403" s="694">
        <f t="shared" si="159"/>
        <v>110323</v>
      </c>
      <c r="P403" s="695">
        <f t="shared" si="175"/>
        <v>3677.4333333333334</v>
      </c>
      <c r="Q403" s="696">
        <f t="shared" si="160"/>
        <v>112491</v>
      </c>
      <c r="R403" s="697">
        <f t="shared" si="169"/>
        <v>3749.7</v>
      </c>
      <c r="S403" s="706">
        <v>1235</v>
      </c>
      <c r="T403" s="687">
        <v>1359</v>
      </c>
      <c r="U403" s="694">
        <f t="shared" si="161"/>
        <v>110323</v>
      </c>
      <c r="V403" s="698">
        <f t="shared" si="162"/>
        <v>112491</v>
      </c>
      <c r="W403" s="679"/>
      <c r="X403" s="678"/>
      <c r="Y403" s="679"/>
      <c r="Z403" s="678"/>
      <c r="AA403" s="679"/>
      <c r="AB403" s="678"/>
      <c r="AC403" s="679"/>
      <c r="AD403" s="678"/>
      <c r="AE403" s="694">
        <f t="shared" si="163"/>
        <v>0</v>
      </c>
      <c r="AF403" s="695">
        <f t="shared" si="170"/>
        <v>0</v>
      </c>
      <c r="AG403" s="696">
        <f t="shared" si="164"/>
        <v>0</v>
      </c>
      <c r="AH403" s="697">
        <f t="shared" si="171"/>
        <v>0</v>
      </c>
      <c r="AI403" s="679"/>
      <c r="AJ403" s="678"/>
      <c r="AK403" s="694">
        <f t="shared" si="165"/>
        <v>0</v>
      </c>
      <c r="AL403" s="698">
        <f t="shared" si="166"/>
        <v>0</v>
      </c>
      <c r="AM403" s="679"/>
      <c r="AN403" s="678"/>
      <c r="AO403" s="679">
        <v>2904</v>
      </c>
      <c r="AP403" s="678">
        <v>2788</v>
      </c>
      <c r="AQ403" s="679">
        <v>2306</v>
      </c>
      <c r="AR403" s="678">
        <v>2275</v>
      </c>
      <c r="AS403" s="679">
        <v>2569</v>
      </c>
      <c r="AT403" s="678">
        <v>2853</v>
      </c>
      <c r="AU403" s="699">
        <f t="shared" si="172"/>
        <v>7779</v>
      </c>
      <c r="AV403" s="695">
        <f t="shared" si="158"/>
        <v>324.125</v>
      </c>
      <c r="AW403" s="696">
        <f t="shared" si="173"/>
        <v>7916</v>
      </c>
      <c r="AX403" s="697">
        <f t="shared" si="174"/>
        <v>329.83333333333331</v>
      </c>
      <c r="AY403" s="700">
        <f t="shared" si="167"/>
        <v>4001.5583333333334</v>
      </c>
      <c r="AZ403" s="697">
        <f t="shared" si="168"/>
        <v>4079.5333333333333</v>
      </c>
      <c r="BA403" s="680"/>
    </row>
    <row r="404" spans="1:53">
      <c r="A404" s="529" t="s">
        <v>659</v>
      </c>
      <c r="B404" s="294" t="s">
        <v>210</v>
      </c>
      <c r="C404" s="293">
        <v>207351</v>
      </c>
      <c r="D404" s="269">
        <v>6</v>
      </c>
      <c r="E404" s="148" t="s">
        <v>393</v>
      </c>
      <c r="F404" s="483"/>
      <c r="G404" s="679"/>
      <c r="H404" s="678"/>
      <c r="I404" s="706">
        <v>14277</v>
      </c>
      <c r="J404" s="688">
        <v>14762</v>
      </c>
      <c r="K404" s="706">
        <v>1625</v>
      </c>
      <c r="L404" s="688">
        <v>1543</v>
      </c>
      <c r="M404" s="706">
        <v>16370</v>
      </c>
      <c r="N404" s="687">
        <f>10798+6472</f>
        <v>17270</v>
      </c>
      <c r="O404" s="694">
        <f t="shared" si="159"/>
        <v>32272</v>
      </c>
      <c r="P404" s="695">
        <f t="shared" si="175"/>
        <v>1075.7333333333333</v>
      </c>
      <c r="Q404" s="696">
        <f t="shared" si="160"/>
        <v>33575</v>
      </c>
      <c r="R404" s="697">
        <f t="shared" si="169"/>
        <v>1119.1666666666667</v>
      </c>
      <c r="S404" s="706">
        <v>402</v>
      </c>
      <c r="T404" s="687">
        <v>445</v>
      </c>
      <c r="U404" s="694">
        <f t="shared" si="161"/>
        <v>32272</v>
      </c>
      <c r="V404" s="698">
        <f t="shared" si="162"/>
        <v>33575</v>
      </c>
      <c r="W404" s="679"/>
      <c r="X404" s="678"/>
      <c r="Y404" s="679"/>
      <c r="Z404" s="678"/>
      <c r="AA404" s="679"/>
      <c r="AB404" s="678"/>
      <c r="AC404" s="679"/>
      <c r="AD404" s="678"/>
      <c r="AE404" s="694">
        <f t="shared" si="163"/>
        <v>0</v>
      </c>
      <c r="AF404" s="695">
        <f t="shared" si="170"/>
        <v>0</v>
      </c>
      <c r="AG404" s="696">
        <f t="shared" si="164"/>
        <v>0</v>
      </c>
      <c r="AH404" s="697">
        <f t="shared" si="171"/>
        <v>0</v>
      </c>
      <c r="AI404" s="679"/>
      <c r="AJ404" s="678"/>
      <c r="AK404" s="694">
        <f t="shared" si="165"/>
        <v>0</v>
      </c>
      <c r="AL404" s="698">
        <f t="shared" si="166"/>
        <v>0</v>
      </c>
      <c r="AM404" s="679"/>
      <c r="AN404" s="678"/>
      <c r="AO404" s="679"/>
      <c r="AP404" s="678"/>
      <c r="AQ404" s="679"/>
      <c r="AR404" s="678"/>
      <c r="AS404" s="679"/>
      <c r="AT404" s="678"/>
      <c r="AU404" s="699">
        <f t="shared" si="172"/>
        <v>0</v>
      </c>
      <c r="AV404" s="695">
        <f t="shared" si="158"/>
        <v>0</v>
      </c>
      <c r="AW404" s="696">
        <f t="shared" si="173"/>
        <v>0</v>
      </c>
      <c r="AX404" s="697">
        <f t="shared" si="174"/>
        <v>0</v>
      </c>
      <c r="AY404" s="700">
        <f t="shared" si="167"/>
        <v>1075.7333333333333</v>
      </c>
      <c r="AZ404" s="697">
        <f t="shared" si="168"/>
        <v>1119.1666666666667</v>
      </c>
      <c r="BA404" s="680"/>
    </row>
    <row r="405" spans="1:53">
      <c r="A405" s="530" t="s">
        <v>659</v>
      </c>
      <c r="B405" s="531" t="s">
        <v>212</v>
      </c>
      <c r="C405" s="295">
        <v>207661</v>
      </c>
      <c r="D405" s="97">
        <v>6</v>
      </c>
      <c r="E405" s="148" t="s">
        <v>393</v>
      </c>
      <c r="F405" s="483"/>
      <c r="G405" s="679"/>
      <c r="H405" s="678"/>
      <c r="I405" s="706">
        <v>37236</v>
      </c>
      <c r="J405" s="688">
        <v>39559</v>
      </c>
      <c r="K405" s="706">
        <v>5731</v>
      </c>
      <c r="L405" s="688">
        <v>6504</v>
      </c>
      <c r="M405" s="706">
        <v>41591</v>
      </c>
      <c r="N405" s="687">
        <f>27355+18383</f>
        <v>45738</v>
      </c>
      <c r="O405" s="694">
        <f t="shared" si="159"/>
        <v>84558</v>
      </c>
      <c r="P405" s="695">
        <f t="shared" si="175"/>
        <v>2818.6</v>
      </c>
      <c r="Q405" s="696">
        <f t="shared" si="160"/>
        <v>91801</v>
      </c>
      <c r="R405" s="697">
        <f t="shared" si="169"/>
        <v>3060.0333333333333</v>
      </c>
      <c r="S405" s="706">
        <v>1908</v>
      </c>
      <c r="T405" s="687">
        <v>2194</v>
      </c>
      <c r="U405" s="694">
        <f t="shared" si="161"/>
        <v>84558</v>
      </c>
      <c r="V405" s="698">
        <f t="shared" si="162"/>
        <v>91801</v>
      </c>
      <c r="W405" s="679"/>
      <c r="X405" s="678"/>
      <c r="Y405" s="679"/>
      <c r="Z405" s="678"/>
      <c r="AA405" s="679"/>
      <c r="AB405" s="678"/>
      <c r="AC405" s="679"/>
      <c r="AD405" s="678"/>
      <c r="AE405" s="694">
        <f t="shared" si="163"/>
        <v>0</v>
      </c>
      <c r="AF405" s="695">
        <f t="shared" si="170"/>
        <v>0</v>
      </c>
      <c r="AG405" s="696">
        <f t="shared" si="164"/>
        <v>0</v>
      </c>
      <c r="AH405" s="697">
        <f t="shared" si="171"/>
        <v>0</v>
      </c>
      <c r="AI405" s="679"/>
      <c r="AJ405" s="678"/>
      <c r="AK405" s="694">
        <f t="shared" si="165"/>
        <v>0</v>
      </c>
      <c r="AL405" s="698">
        <f t="shared" si="166"/>
        <v>0</v>
      </c>
      <c r="AM405" s="679"/>
      <c r="AN405" s="678"/>
      <c r="AO405" s="679"/>
      <c r="AP405" s="678"/>
      <c r="AQ405" s="679"/>
      <c r="AR405" s="678"/>
      <c r="AS405" s="679"/>
      <c r="AT405" s="678"/>
      <c r="AU405" s="699">
        <f t="shared" si="172"/>
        <v>0</v>
      </c>
      <c r="AV405" s="695">
        <f t="shared" si="158"/>
        <v>0</v>
      </c>
      <c r="AW405" s="696">
        <f t="shared" si="173"/>
        <v>0</v>
      </c>
      <c r="AX405" s="697">
        <f t="shared" si="174"/>
        <v>0</v>
      </c>
      <c r="AY405" s="700">
        <f t="shared" si="167"/>
        <v>2818.6</v>
      </c>
      <c r="AZ405" s="697">
        <f t="shared" si="168"/>
        <v>3060.0333333333333</v>
      </c>
      <c r="BA405" s="680"/>
    </row>
    <row r="406" spans="1:53">
      <c r="A406" s="529" t="s">
        <v>659</v>
      </c>
      <c r="B406" s="294" t="s">
        <v>211</v>
      </c>
      <c r="C406" s="293">
        <v>207722</v>
      </c>
      <c r="D406" s="269">
        <v>6</v>
      </c>
      <c r="E406" s="148" t="s">
        <v>393</v>
      </c>
      <c r="F406" s="483"/>
      <c r="G406" s="679"/>
      <c r="H406" s="678"/>
      <c r="I406" s="706">
        <v>13302</v>
      </c>
      <c r="J406" s="688">
        <v>12767</v>
      </c>
      <c r="K406" s="706">
        <v>4685</v>
      </c>
      <c r="L406" s="688">
        <v>4606</v>
      </c>
      <c r="M406" s="706">
        <v>14293</v>
      </c>
      <c r="N406" s="687">
        <f>6986+7027</f>
        <v>14013</v>
      </c>
      <c r="O406" s="694">
        <f t="shared" si="159"/>
        <v>32280</v>
      </c>
      <c r="P406" s="695">
        <f t="shared" si="175"/>
        <v>1076</v>
      </c>
      <c r="Q406" s="696">
        <f t="shared" si="160"/>
        <v>31386</v>
      </c>
      <c r="R406" s="697">
        <f t="shared" si="169"/>
        <v>1046.2</v>
      </c>
      <c r="S406" s="706">
        <v>109</v>
      </c>
      <c r="T406" s="687">
        <v>94</v>
      </c>
      <c r="U406" s="694">
        <f t="shared" si="161"/>
        <v>32280</v>
      </c>
      <c r="V406" s="698">
        <f t="shared" si="162"/>
        <v>31386</v>
      </c>
      <c r="W406" s="679"/>
      <c r="X406" s="678"/>
      <c r="Y406" s="679"/>
      <c r="Z406" s="678"/>
      <c r="AA406" s="679"/>
      <c r="AB406" s="678"/>
      <c r="AC406" s="679"/>
      <c r="AD406" s="678"/>
      <c r="AE406" s="694">
        <f t="shared" si="163"/>
        <v>0</v>
      </c>
      <c r="AF406" s="695">
        <f t="shared" si="170"/>
        <v>0</v>
      </c>
      <c r="AG406" s="696">
        <f t="shared" si="164"/>
        <v>0</v>
      </c>
      <c r="AH406" s="697">
        <f t="shared" si="171"/>
        <v>0</v>
      </c>
      <c r="AI406" s="679"/>
      <c r="AJ406" s="678"/>
      <c r="AK406" s="694">
        <f t="shared" si="165"/>
        <v>0</v>
      </c>
      <c r="AL406" s="698">
        <f t="shared" si="166"/>
        <v>0</v>
      </c>
      <c r="AM406" s="679"/>
      <c r="AN406" s="678"/>
      <c r="AO406" s="679"/>
      <c r="AP406" s="678"/>
      <c r="AQ406" s="679"/>
      <c r="AR406" s="678"/>
      <c r="AS406" s="679"/>
      <c r="AT406" s="678"/>
      <c r="AU406" s="699">
        <f t="shared" si="172"/>
        <v>0</v>
      </c>
      <c r="AV406" s="695">
        <f t="shared" si="158"/>
        <v>0</v>
      </c>
      <c r="AW406" s="696">
        <f t="shared" si="173"/>
        <v>0</v>
      </c>
      <c r="AX406" s="697">
        <f t="shared" si="174"/>
        <v>0</v>
      </c>
      <c r="AY406" s="700">
        <f t="shared" si="167"/>
        <v>1076</v>
      </c>
      <c r="AZ406" s="697">
        <f t="shared" si="168"/>
        <v>1046.2</v>
      </c>
      <c r="BA406" s="680"/>
    </row>
    <row r="407" spans="1:53">
      <c r="A407" s="530" t="s">
        <v>659</v>
      </c>
      <c r="B407" s="294" t="s">
        <v>216</v>
      </c>
      <c r="C407" s="293">
        <v>207564</v>
      </c>
      <c r="D407" s="269">
        <v>7</v>
      </c>
      <c r="E407" s="148" t="s">
        <v>393</v>
      </c>
      <c r="F407" s="483"/>
      <c r="G407" s="679"/>
      <c r="H407" s="678"/>
      <c r="I407" s="706">
        <v>32737</v>
      </c>
      <c r="J407" s="688">
        <v>35453</v>
      </c>
      <c r="K407" s="706">
        <v>18274</v>
      </c>
      <c r="L407" s="688">
        <v>20097</v>
      </c>
      <c r="M407" s="706">
        <v>37057</v>
      </c>
      <c r="N407" s="687">
        <f>42313+693</f>
        <v>43006</v>
      </c>
      <c r="O407" s="694">
        <f t="shared" si="159"/>
        <v>88068</v>
      </c>
      <c r="P407" s="695">
        <f t="shared" si="175"/>
        <v>2935.6</v>
      </c>
      <c r="Q407" s="696">
        <f t="shared" si="160"/>
        <v>98556</v>
      </c>
      <c r="R407" s="697">
        <f t="shared" si="169"/>
        <v>3285.2</v>
      </c>
      <c r="S407" s="706">
        <v>1054</v>
      </c>
      <c r="T407" s="687">
        <v>1152</v>
      </c>
      <c r="U407" s="694">
        <f t="shared" si="161"/>
        <v>88068</v>
      </c>
      <c r="V407" s="698">
        <f t="shared" si="162"/>
        <v>98556</v>
      </c>
      <c r="W407" s="679"/>
      <c r="X407" s="678"/>
      <c r="Y407" s="679"/>
      <c r="Z407" s="678"/>
      <c r="AA407" s="679"/>
      <c r="AB407" s="678"/>
      <c r="AC407" s="679"/>
      <c r="AD407" s="678"/>
      <c r="AE407" s="694">
        <f t="shared" si="163"/>
        <v>0</v>
      </c>
      <c r="AF407" s="695">
        <f t="shared" si="170"/>
        <v>0</v>
      </c>
      <c r="AG407" s="696">
        <f t="shared" si="164"/>
        <v>0</v>
      </c>
      <c r="AH407" s="697">
        <f t="shared" si="171"/>
        <v>0</v>
      </c>
      <c r="AI407" s="679"/>
      <c r="AJ407" s="678"/>
      <c r="AK407" s="694">
        <f t="shared" si="165"/>
        <v>0</v>
      </c>
      <c r="AL407" s="698">
        <f t="shared" si="166"/>
        <v>0</v>
      </c>
      <c r="AM407" s="679"/>
      <c r="AN407" s="678"/>
      <c r="AO407" s="679"/>
      <c r="AP407" s="678"/>
      <c r="AQ407" s="679"/>
      <c r="AR407" s="678"/>
      <c r="AS407" s="679"/>
      <c r="AT407" s="678"/>
      <c r="AU407" s="699">
        <f t="shared" si="172"/>
        <v>0</v>
      </c>
      <c r="AV407" s="695">
        <f t="shared" si="158"/>
        <v>0</v>
      </c>
      <c r="AW407" s="696">
        <f t="shared" si="173"/>
        <v>0</v>
      </c>
      <c r="AX407" s="697">
        <f t="shared" si="174"/>
        <v>0</v>
      </c>
      <c r="AY407" s="700">
        <f t="shared" si="167"/>
        <v>2935.6</v>
      </c>
      <c r="AZ407" s="697">
        <f t="shared" si="168"/>
        <v>3285.2</v>
      </c>
      <c r="BA407" s="680"/>
    </row>
    <row r="408" spans="1:53">
      <c r="A408" s="529" t="s">
        <v>659</v>
      </c>
      <c r="B408" s="90" t="s">
        <v>213</v>
      </c>
      <c r="C408" s="293">
        <v>207449</v>
      </c>
      <c r="D408" s="269">
        <v>8</v>
      </c>
      <c r="E408" s="148" t="s">
        <v>393</v>
      </c>
      <c r="F408" s="483"/>
      <c r="G408" s="679"/>
      <c r="H408" s="678"/>
      <c r="I408" s="706">
        <v>102791</v>
      </c>
      <c r="J408" s="688">
        <v>108192</v>
      </c>
      <c r="K408" s="706">
        <v>26856</v>
      </c>
      <c r="L408" s="688">
        <v>29788</v>
      </c>
      <c r="M408" s="706">
        <v>108830</v>
      </c>
      <c r="N408" s="687">
        <v>126851</v>
      </c>
      <c r="O408" s="694">
        <f t="shared" si="159"/>
        <v>238477</v>
      </c>
      <c r="P408" s="695">
        <f t="shared" si="175"/>
        <v>7949.2333333333336</v>
      </c>
      <c r="Q408" s="696">
        <f t="shared" si="160"/>
        <v>264831</v>
      </c>
      <c r="R408" s="697">
        <f t="shared" si="169"/>
        <v>8827.7000000000007</v>
      </c>
      <c r="S408" s="706">
        <v>5154</v>
      </c>
      <c r="T408" s="687">
        <v>7447</v>
      </c>
      <c r="U408" s="694">
        <f t="shared" si="161"/>
        <v>238477</v>
      </c>
      <c r="V408" s="698">
        <f t="shared" si="162"/>
        <v>264831</v>
      </c>
      <c r="W408" s="679"/>
      <c r="X408" s="678"/>
      <c r="Y408" s="679"/>
      <c r="Z408" s="678"/>
      <c r="AA408" s="679"/>
      <c r="AB408" s="678"/>
      <c r="AC408" s="679"/>
      <c r="AD408" s="678"/>
      <c r="AE408" s="694">
        <f t="shared" si="163"/>
        <v>0</v>
      </c>
      <c r="AF408" s="695">
        <f t="shared" si="170"/>
        <v>0</v>
      </c>
      <c r="AG408" s="696">
        <f t="shared" si="164"/>
        <v>0</v>
      </c>
      <c r="AH408" s="697">
        <f t="shared" si="171"/>
        <v>0</v>
      </c>
      <c r="AI408" s="679"/>
      <c r="AJ408" s="678"/>
      <c r="AK408" s="694">
        <f t="shared" si="165"/>
        <v>0</v>
      </c>
      <c r="AL408" s="698">
        <f t="shared" si="166"/>
        <v>0</v>
      </c>
      <c r="AM408" s="679"/>
      <c r="AN408" s="678"/>
      <c r="AO408" s="679"/>
      <c r="AP408" s="678"/>
      <c r="AQ408" s="679"/>
      <c r="AR408" s="678"/>
      <c r="AS408" s="679"/>
      <c r="AT408" s="678"/>
      <c r="AU408" s="699">
        <f t="shared" si="172"/>
        <v>0</v>
      </c>
      <c r="AV408" s="695">
        <f t="shared" si="158"/>
        <v>0</v>
      </c>
      <c r="AW408" s="696">
        <f t="shared" si="173"/>
        <v>0</v>
      </c>
      <c r="AX408" s="697">
        <f t="shared" si="174"/>
        <v>0</v>
      </c>
      <c r="AY408" s="700">
        <f t="shared" si="167"/>
        <v>7949.2333333333336</v>
      </c>
      <c r="AZ408" s="697">
        <f t="shared" si="168"/>
        <v>8827.7000000000007</v>
      </c>
      <c r="BA408" s="680"/>
    </row>
    <row r="409" spans="1:53">
      <c r="A409" s="529" t="s">
        <v>659</v>
      </c>
      <c r="B409" s="294" t="s">
        <v>214</v>
      </c>
      <c r="C409" s="293">
        <v>207935</v>
      </c>
      <c r="D409" s="269">
        <v>8</v>
      </c>
      <c r="E409" s="148" t="s">
        <v>393</v>
      </c>
      <c r="F409" s="483"/>
      <c r="G409" s="679"/>
      <c r="H409" s="678"/>
      <c r="I409" s="706">
        <v>138326</v>
      </c>
      <c r="J409" s="688">
        <v>149337</v>
      </c>
      <c r="K409" s="706">
        <v>46432</v>
      </c>
      <c r="L409" s="688">
        <v>49277</v>
      </c>
      <c r="M409" s="706">
        <v>156006</v>
      </c>
      <c r="N409" s="687">
        <v>175882</v>
      </c>
      <c r="O409" s="694">
        <f t="shared" si="159"/>
        <v>340764</v>
      </c>
      <c r="P409" s="695">
        <f t="shared" si="175"/>
        <v>11358.8</v>
      </c>
      <c r="Q409" s="696">
        <f t="shared" si="160"/>
        <v>374496</v>
      </c>
      <c r="R409" s="697">
        <f t="shared" si="169"/>
        <v>12483.2</v>
      </c>
      <c r="S409" s="706">
        <v>7779</v>
      </c>
      <c r="T409" s="687">
        <v>9456</v>
      </c>
      <c r="U409" s="694">
        <f t="shared" si="161"/>
        <v>340764</v>
      </c>
      <c r="V409" s="698">
        <f t="shared" si="162"/>
        <v>374496</v>
      </c>
      <c r="W409" s="679"/>
      <c r="X409" s="678"/>
      <c r="Y409" s="679"/>
      <c r="Z409" s="678"/>
      <c r="AA409" s="679"/>
      <c r="AB409" s="678"/>
      <c r="AC409" s="679"/>
      <c r="AD409" s="678"/>
      <c r="AE409" s="694">
        <f t="shared" si="163"/>
        <v>0</v>
      </c>
      <c r="AF409" s="695">
        <f t="shared" si="170"/>
        <v>0</v>
      </c>
      <c r="AG409" s="696">
        <f t="shared" si="164"/>
        <v>0</v>
      </c>
      <c r="AH409" s="697">
        <f t="shared" si="171"/>
        <v>0</v>
      </c>
      <c r="AI409" s="679"/>
      <c r="AJ409" s="678"/>
      <c r="AK409" s="694">
        <f t="shared" si="165"/>
        <v>0</v>
      </c>
      <c r="AL409" s="698">
        <f t="shared" si="166"/>
        <v>0</v>
      </c>
      <c r="AM409" s="679"/>
      <c r="AN409" s="678"/>
      <c r="AO409" s="679"/>
      <c r="AP409" s="678"/>
      <c r="AQ409" s="679"/>
      <c r="AR409" s="678"/>
      <c r="AS409" s="679"/>
      <c r="AT409" s="678"/>
      <c r="AU409" s="699">
        <f t="shared" si="172"/>
        <v>0</v>
      </c>
      <c r="AV409" s="695">
        <f t="shared" si="158"/>
        <v>0</v>
      </c>
      <c r="AW409" s="696">
        <f t="shared" si="173"/>
        <v>0</v>
      </c>
      <c r="AX409" s="697">
        <f t="shared" si="174"/>
        <v>0</v>
      </c>
      <c r="AY409" s="700">
        <f t="shared" si="167"/>
        <v>11358.8</v>
      </c>
      <c r="AZ409" s="697">
        <f t="shared" si="168"/>
        <v>12483.2</v>
      </c>
      <c r="BA409" s="680"/>
    </row>
    <row r="410" spans="1:53">
      <c r="A410" s="529" t="s">
        <v>659</v>
      </c>
      <c r="B410" s="90" t="s">
        <v>215</v>
      </c>
      <c r="C410" s="293">
        <v>207281</v>
      </c>
      <c r="D410" s="269">
        <v>9</v>
      </c>
      <c r="E410" s="148" t="s">
        <v>393</v>
      </c>
      <c r="F410" s="483"/>
      <c r="G410" s="679"/>
      <c r="H410" s="678"/>
      <c r="I410" s="706">
        <v>46965</v>
      </c>
      <c r="J410" s="688">
        <v>47037</v>
      </c>
      <c r="K410" s="706">
        <v>7745</v>
      </c>
      <c r="L410" s="688">
        <v>7211</v>
      </c>
      <c r="M410" s="706">
        <v>49507</v>
      </c>
      <c r="N410" s="687">
        <v>51355</v>
      </c>
      <c r="O410" s="694">
        <f t="shared" si="159"/>
        <v>104217</v>
      </c>
      <c r="P410" s="695">
        <f t="shared" si="175"/>
        <v>3473.9</v>
      </c>
      <c r="Q410" s="696">
        <f t="shared" si="160"/>
        <v>105603</v>
      </c>
      <c r="R410" s="697">
        <f t="shared" si="169"/>
        <v>3520.1</v>
      </c>
      <c r="S410" s="706">
        <v>3178</v>
      </c>
      <c r="T410" s="687">
        <v>3780</v>
      </c>
      <c r="U410" s="694">
        <f t="shared" si="161"/>
        <v>104217</v>
      </c>
      <c r="V410" s="698">
        <f t="shared" si="162"/>
        <v>105603</v>
      </c>
      <c r="W410" s="679"/>
      <c r="X410" s="678"/>
      <c r="Y410" s="679"/>
      <c r="Z410" s="678"/>
      <c r="AA410" s="679"/>
      <c r="AB410" s="678"/>
      <c r="AC410" s="679"/>
      <c r="AD410" s="678"/>
      <c r="AE410" s="694">
        <f t="shared" si="163"/>
        <v>0</v>
      </c>
      <c r="AF410" s="695">
        <f t="shared" si="170"/>
        <v>0</v>
      </c>
      <c r="AG410" s="696">
        <f t="shared" si="164"/>
        <v>0</v>
      </c>
      <c r="AH410" s="697">
        <f t="shared" si="171"/>
        <v>0</v>
      </c>
      <c r="AI410" s="679"/>
      <c r="AJ410" s="678"/>
      <c r="AK410" s="694">
        <f t="shared" si="165"/>
        <v>0</v>
      </c>
      <c r="AL410" s="698">
        <f t="shared" si="166"/>
        <v>0</v>
      </c>
      <c r="AM410" s="679"/>
      <c r="AN410" s="678"/>
      <c r="AO410" s="679"/>
      <c r="AP410" s="678"/>
      <c r="AQ410" s="679"/>
      <c r="AR410" s="678"/>
      <c r="AS410" s="679"/>
      <c r="AT410" s="678"/>
      <c r="AU410" s="699">
        <f t="shared" si="172"/>
        <v>0</v>
      </c>
      <c r="AV410" s="695">
        <f t="shared" si="158"/>
        <v>0</v>
      </c>
      <c r="AW410" s="696">
        <f t="shared" si="173"/>
        <v>0</v>
      </c>
      <c r="AX410" s="697">
        <f t="shared" si="174"/>
        <v>0</v>
      </c>
      <c r="AY410" s="700">
        <f t="shared" si="167"/>
        <v>3473.9</v>
      </c>
      <c r="AZ410" s="697">
        <f t="shared" si="168"/>
        <v>3520.1</v>
      </c>
      <c r="BA410" s="680"/>
    </row>
    <row r="411" spans="1:53">
      <c r="A411" s="529" t="s">
        <v>659</v>
      </c>
      <c r="B411" s="294" t="s">
        <v>217</v>
      </c>
      <c r="C411" s="293">
        <v>207397</v>
      </c>
      <c r="D411" s="269">
        <v>9</v>
      </c>
      <c r="E411" s="148" t="s">
        <v>393</v>
      </c>
      <c r="F411" s="483"/>
      <c r="G411" s="679"/>
      <c r="H411" s="678"/>
      <c r="I411" s="706">
        <v>48008</v>
      </c>
      <c r="J411" s="688">
        <v>51383</v>
      </c>
      <c r="K411" s="706">
        <v>13440</v>
      </c>
      <c r="L411" s="688">
        <v>15681</v>
      </c>
      <c r="M411" s="706">
        <v>51716</v>
      </c>
      <c r="N411" s="687">
        <f>63172+552</f>
        <v>63724</v>
      </c>
      <c r="O411" s="694">
        <f t="shared" si="159"/>
        <v>113164</v>
      </c>
      <c r="P411" s="695">
        <f t="shared" si="175"/>
        <v>3772.1333333333332</v>
      </c>
      <c r="Q411" s="696">
        <f t="shared" si="160"/>
        <v>130788</v>
      </c>
      <c r="R411" s="697">
        <f t="shared" si="169"/>
        <v>4359.6000000000004</v>
      </c>
      <c r="S411" s="706">
        <v>1454</v>
      </c>
      <c r="T411" s="710">
        <v>104</v>
      </c>
      <c r="U411" s="694">
        <f t="shared" si="161"/>
        <v>113164</v>
      </c>
      <c r="V411" s="698">
        <f t="shared" si="162"/>
        <v>130788</v>
      </c>
      <c r="W411" s="679"/>
      <c r="X411" s="678"/>
      <c r="Y411" s="679"/>
      <c r="Z411" s="678"/>
      <c r="AA411" s="679"/>
      <c r="AB411" s="678"/>
      <c r="AC411" s="679"/>
      <c r="AD411" s="678"/>
      <c r="AE411" s="694">
        <f t="shared" si="163"/>
        <v>0</v>
      </c>
      <c r="AF411" s="695">
        <f t="shared" si="170"/>
        <v>0</v>
      </c>
      <c r="AG411" s="696">
        <f t="shared" si="164"/>
        <v>0</v>
      </c>
      <c r="AH411" s="697">
        <f t="shared" si="171"/>
        <v>0</v>
      </c>
      <c r="AI411" s="679"/>
      <c r="AJ411" s="678"/>
      <c r="AK411" s="694">
        <f t="shared" si="165"/>
        <v>0</v>
      </c>
      <c r="AL411" s="698">
        <f t="shared" si="166"/>
        <v>0</v>
      </c>
      <c r="AM411" s="679"/>
      <c r="AN411" s="678"/>
      <c r="AO411" s="679"/>
      <c r="AP411" s="678"/>
      <c r="AQ411" s="679"/>
      <c r="AR411" s="678"/>
      <c r="AS411" s="679"/>
      <c r="AT411" s="678"/>
      <c r="AU411" s="699">
        <f t="shared" si="172"/>
        <v>0</v>
      </c>
      <c r="AV411" s="695">
        <f t="shared" si="158"/>
        <v>0</v>
      </c>
      <c r="AW411" s="696">
        <f t="shared" si="173"/>
        <v>0</v>
      </c>
      <c r="AX411" s="697">
        <f t="shared" si="174"/>
        <v>0</v>
      </c>
      <c r="AY411" s="700">
        <f t="shared" si="167"/>
        <v>3772.1333333333332</v>
      </c>
      <c r="AZ411" s="697">
        <f t="shared" si="168"/>
        <v>4359.6000000000004</v>
      </c>
      <c r="BA411" s="680"/>
    </row>
    <row r="412" spans="1:53">
      <c r="A412" s="529" t="s">
        <v>659</v>
      </c>
      <c r="B412" s="294" t="s">
        <v>218</v>
      </c>
      <c r="C412" s="293">
        <v>207670</v>
      </c>
      <c r="D412" s="269">
        <v>9</v>
      </c>
      <c r="E412" s="148" t="s">
        <v>393</v>
      </c>
      <c r="F412" s="483"/>
      <c r="G412" s="679"/>
      <c r="H412" s="678"/>
      <c r="I412" s="706">
        <v>59638</v>
      </c>
      <c r="J412" s="688">
        <v>60745</v>
      </c>
      <c r="K412" s="706">
        <v>14675</v>
      </c>
      <c r="L412" s="688">
        <v>16064</v>
      </c>
      <c r="M412" s="706">
        <v>65638</v>
      </c>
      <c r="N412" s="687">
        <v>74152</v>
      </c>
      <c r="O412" s="694">
        <f t="shared" si="159"/>
        <v>139951</v>
      </c>
      <c r="P412" s="695">
        <f t="shared" si="175"/>
        <v>4665.0333333333338</v>
      </c>
      <c r="Q412" s="696">
        <f t="shared" si="160"/>
        <v>150961</v>
      </c>
      <c r="R412" s="697">
        <f t="shared" si="169"/>
        <v>5032.0333333333338</v>
      </c>
      <c r="S412" s="706">
        <v>2830</v>
      </c>
      <c r="T412" s="687">
        <v>2458</v>
      </c>
      <c r="U412" s="694">
        <f t="shared" si="161"/>
        <v>139951</v>
      </c>
      <c r="V412" s="698">
        <f t="shared" si="162"/>
        <v>150961</v>
      </c>
      <c r="W412" s="679"/>
      <c r="X412" s="678"/>
      <c r="Y412" s="679"/>
      <c r="Z412" s="678"/>
      <c r="AA412" s="679"/>
      <c r="AB412" s="678"/>
      <c r="AC412" s="679"/>
      <c r="AD412" s="678"/>
      <c r="AE412" s="694">
        <f t="shared" si="163"/>
        <v>0</v>
      </c>
      <c r="AF412" s="695">
        <f t="shared" si="170"/>
        <v>0</v>
      </c>
      <c r="AG412" s="696">
        <f t="shared" si="164"/>
        <v>0</v>
      </c>
      <c r="AH412" s="697">
        <f t="shared" si="171"/>
        <v>0</v>
      </c>
      <c r="AI412" s="679"/>
      <c r="AJ412" s="678"/>
      <c r="AK412" s="694">
        <f t="shared" si="165"/>
        <v>0</v>
      </c>
      <c r="AL412" s="698">
        <f t="shared" si="166"/>
        <v>0</v>
      </c>
      <c r="AM412" s="679"/>
      <c r="AN412" s="678"/>
      <c r="AO412" s="679"/>
      <c r="AP412" s="678"/>
      <c r="AQ412" s="679"/>
      <c r="AR412" s="678"/>
      <c r="AS412" s="679"/>
      <c r="AT412" s="678"/>
      <c r="AU412" s="699">
        <f t="shared" si="172"/>
        <v>0</v>
      </c>
      <c r="AV412" s="695">
        <f t="shared" si="158"/>
        <v>0</v>
      </c>
      <c r="AW412" s="696">
        <f t="shared" si="173"/>
        <v>0</v>
      </c>
      <c r="AX412" s="697">
        <f t="shared" si="174"/>
        <v>0</v>
      </c>
      <c r="AY412" s="700">
        <f t="shared" si="167"/>
        <v>4665.0333333333338</v>
      </c>
      <c r="AZ412" s="697">
        <f t="shared" si="168"/>
        <v>5032.0333333333338</v>
      </c>
      <c r="BA412" s="680"/>
    </row>
    <row r="413" spans="1:53">
      <c r="A413" s="529" t="s">
        <v>659</v>
      </c>
      <c r="B413" s="294" t="s">
        <v>219</v>
      </c>
      <c r="C413" s="293">
        <v>206923</v>
      </c>
      <c r="D413" s="269">
        <v>10</v>
      </c>
      <c r="E413" s="148" t="s">
        <v>393</v>
      </c>
      <c r="F413" s="483"/>
      <c r="G413" s="679"/>
      <c r="H413" s="678"/>
      <c r="I413" s="706">
        <v>23423</v>
      </c>
      <c r="J413" s="688">
        <v>23826</v>
      </c>
      <c r="K413" s="706">
        <v>4627</v>
      </c>
      <c r="L413" s="688">
        <v>5047</v>
      </c>
      <c r="M413" s="706">
        <v>25544</v>
      </c>
      <c r="N413" s="687">
        <v>27809</v>
      </c>
      <c r="O413" s="694">
        <f t="shared" si="159"/>
        <v>53594</v>
      </c>
      <c r="P413" s="695">
        <f t="shared" si="175"/>
        <v>1786.4666666666667</v>
      </c>
      <c r="Q413" s="696">
        <f t="shared" si="160"/>
        <v>56682</v>
      </c>
      <c r="R413" s="697">
        <f t="shared" si="169"/>
        <v>1889.4</v>
      </c>
      <c r="S413" s="706">
        <v>422</v>
      </c>
      <c r="T413" s="710">
        <v>1894</v>
      </c>
      <c r="U413" s="694">
        <f t="shared" si="161"/>
        <v>53594</v>
      </c>
      <c r="V413" s="698">
        <f t="shared" si="162"/>
        <v>56682</v>
      </c>
      <c r="W413" s="679"/>
      <c r="X413" s="678"/>
      <c r="Y413" s="679"/>
      <c r="Z413" s="687"/>
      <c r="AA413" s="679"/>
      <c r="AB413" s="687"/>
      <c r="AC413" s="679"/>
      <c r="AD413" s="687"/>
      <c r="AE413" s="694">
        <f t="shared" si="163"/>
        <v>0</v>
      </c>
      <c r="AF413" s="695">
        <f t="shared" si="170"/>
        <v>0</v>
      </c>
      <c r="AG413" s="696">
        <f t="shared" si="164"/>
        <v>0</v>
      </c>
      <c r="AH413" s="697">
        <f t="shared" si="171"/>
        <v>0</v>
      </c>
      <c r="AI413" s="679"/>
      <c r="AJ413" s="678"/>
      <c r="AK413" s="694">
        <f t="shared" si="165"/>
        <v>0</v>
      </c>
      <c r="AL413" s="698">
        <f t="shared" si="166"/>
        <v>0</v>
      </c>
      <c r="AM413" s="679"/>
      <c r="AN413" s="678"/>
      <c r="AO413" s="679"/>
      <c r="AP413" s="678"/>
      <c r="AQ413" s="679"/>
      <c r="AR413" s="678"/>
      <c r="AS413" s="679"/>
      <c r="AT413" s="678"/>
      <c r="AU413" s="699">
        <f t="shared" si="172"/>
        <v>0</v>
      </c>
      <c r="AV413" s="695">
        <f t="shared" si="158"/>
        <v>0</v>
      </c>
      <c r="AW413" s="696">
        <f t="shared" si="173"/>
        <v>0</v>
      </c>
      <c r="AX413" s="697">
        <f t="shared" si="174"/>
        <v>0</v>
      </c>
      <c r="AY413" s="700">
        <f t="shared" si="167"/>
        <v>1786.4666666666667</v>
      </c>
      <c r="AZ413" s="697">
        <f t="shared" si="168"/>
        <v>1889.4</v>
      </c>
      <c r="BA413" s="680"/>
    </row>
    <row r="414" spans="1:53">
      <c r="A414" s="529" t="s">
        <v>659</v>
      </c>
      <c r="B414" s="294" t="s">
        <v>220</v>
      </c>
      <c r="C414" s="293">
        <v>206996</v>
      </c>
      <c r="D414" s="269">
        <v>10</v>
      </c>
      <c r="E414" s="148" t="s">
        <v>393</v>
      </c>
      <c r="F414" s="483"/>
      <c r="G414" s="679"/>
      <c r="H414" s="678"/>
      <c r="I414" s="706">
        <v>21306</v>
      </c>
      <c r="J414" s="688">
        <v>22114</v>
      </c>
      <c r="K414" s="706">
        <v>3849</v>
      </c>
      <c r="L414" s="688">
        <v>3847</v>
      </c>
      <c r="M414" s="706">
        <v>24410</v>
      </c>
      <c r="N414" s="687">
        <v>24789</v>
      </c>
      <c r="O414" s="694">
        <f t="shared" si="159"/>
        <v>49565</v>
      </c>
      <c r="P414" s="695">
        <f t="shared" si="175"/>
        <v>1652.1666666666667</v>
      </c>
      <c r="Q414" s="696">
        <f t="shared" si="160"/>
        <v>50750</v>
      </c>
      <c r="R414" s="697">
        <f t="shared" si="169"/>
        <v>1691.6666666666667</v>
      </c>
      <c r="S414" s="706">
        <v>1269</v>
      </c>
      <c r="T414" s="687">
        <v>1248</v>
      </c>
      <c r="U414" s="694">
        <f t="shared" si="161"/>
        <v>49565</v>
      </c>
      <c r="V414" s="698">
        <f t="shared" si="162"/>
        <v>50750</v>
      </c>
      <c r="W414" s="679"/>
      <c r="X414" s="678"/>
      <c r="Y414" s="679"/>
      <c r="Z414" s="687"/>
      <c r="AA414" s="679"/>
      <c r="AB414" s="687"/>
      <c r="AC414" s="679"/>
      <c r="AD414" s="687"/>
      <c r="AE414" s="694">
        <f t="shared" si="163"/>
        <v>0</v>
      </c>
      <c r="AF414" s="695">
        <f t="shared" si="170"/>
        <v>0</v>
      </c>
      <c r="AG414" s="696">
        <f t="shared" si="164"/>
        <v>0</v>
      </c>
      <c r="AH414" s="697">
        <f t="shared" si="171"/>
        <v>0</v>
      </c>
      <c r="AI414" s="679"/>
      <c r="AJ414" s="678"/>
      <c r="AK414" s="694">
        <f t="shared" si="165"/>
        <v>0</v>
      </c>
      <c r="AL414" s="698">
        <f t="shared" si="166"/>
        <v>0</v>
      </c>
      <c r="AM414" s="679"/>
      <c r="AN414" s="678"/>
      <c r="AO414" s="679"/>
      <c r="AP414" s="678"/>
      <c r="AQ414" s="679"/>
      <c r="AR414" s="678"/>
      <c r="AS414" s="679"/>
      <c r="AT414" s="678"/>
      <c r="AU414" s="699">
        <f t="shared" si="172"/>
        <v>0</v>
      </c>
      <c r="AV414" s="695">
        <f t="shared" ref="AV414:AV515" si="176">+AU414/24</f>
        <v>0</v>
      </c>
      <c r="AW414" s="696">
        <f t="shared" si="173"/>
        <v>0</v>
      </c>
      <c r="AX414" s="697">
        <f t="shared" si="174"/>
        <v>0</v>
      </c>
      <c r="AY414" s="700">
        <f t="shared" si="167"/>
        <v>1652.1666666666667</v>
      </c>
      <c r="AZ414" s="697">
        <f t="shared" si="168"/>
        <v>1691.6666666666667</v>
      </c>
      <c r="BA414" s="680"/>
    </row>
    <row r="415" spans="1:53">
      <c r="A415" s="529" t="s">
        <v>659</v>
      </c>
      <c r="B415" s="294" t="s">
        <v>221</v>
      </c>
      <c r="C415" s="293">
        <v>207050</v>
      </c>
      <c r="D415" s="269">
        <v>10</v>
      </c>
      <c r="E415" s="148" t="s">
        <v>393</v>
      </c>
      <c r="F415" s="483"/>
      <c r="G415" s="679"/>
      <c r="H415" s="678"/>
      <c r="I415" s="706">
        <v>17075</v>
      </c>
      <c r="J415" s="688">
        <v>17762</v>
      </c>
      <c r="K415" s="706">
        <v>3031</v>
      </c>
      <c r="L415" s="688">
        <v>3730</v>
      </c>
      <c r="M415" s="706">
        <v>19289</v>
      </c>
      <c r="N415" s="687">
        <v>21460</v>
      </c>
      <c r="O415" s="694">
        <f t="shared" si="159"/>
        <v>39395</v>
      </c>
      <c r="P415" s="695">
        <f t="shared" si="175"/>
        <v>1313.1666666666667</v>
      </c>
      <c r="Q415" s="696">
        <f t="shared" si="160"/>
        <v>42952</v>
      </c>
      <c r="R415" s="697">
        <f t="shared" si="169"/>
        <v>1431.7333333333333</v>
      </c>
      <c r="S415" s="706">
        <v>1203</v>
      </c>
      <c r="T415" s="710">
        <v>2883</v>
      </c>
      <c r="U415" s="694">
        <f t="shared" si="161"/>
        <v>39395</v>
      </c>
      <c r="V415" s="698">
        <f t="shared" si="162"/>
        <v>42952</v>
      </c>
      <c r="W415" s="679"/>
      <c r="X415" s="678"/>
      <c r="Y415" s="679"/>
      <c r="Z415" s="687"/>
      <c r="AA415" s="679"/>
      <c r="AB415" s="687"/>
      <c r="AC415" s="679"/>
      <c r="AD415" s="687"/>
      <c r="AE415" s="694">
        <f t="shared" si="163"/>
        <v>0</v>
      </c>
      <c r="AF415" s="695">
        <f t="shared" si="170"/>
        <v>0</v>
      </c>
      <c r="AG415" s="696">
        <f t="shared" si="164"/>
        <v>0</v>
      </c>
      <c r="AH415" s="697">
        <f t="shared" si="171"/>
        <v>0</v>
      </c>
      <c r="AI415" s="679"/>
      <c r="AJ415" s="678"/>
      <c r="AK415" s="694">
        <f t="shared" si="165"/>
        <v>0</v>
      </c>
      <c r="AL415" s="698">
        <f t="shared" si="166"/>
        <v>0</v>
      </c>
      <c r="AM415" s="679"/>
      <c r="AN415" s="678"/>
      <c r="AO415" s="679"/>
      <c r="AP415" s="678"/>
      <c r="AQ415" s="679"/>
      <c r="AR415" s="678"/>
      <c r="AS415" s="679"/>
      <c r="AT415" s="678"/>
      <c r="AU415" s="699">
        <f t="shared" si="172"/>
        <v>0</v>
      </c>
      <c r="AV415" s="695">
        <f t="shared" si="176"/>
        <v>0</v>
      </c>
      <c r="AW415" s="696">
        <f t="shared" si="173"/>
        <v>0</v>
      </c>
      <c r="AX415" s="697">
        <f t="shared" si="174"/>
        <v>0</v>
      </c>
      <c r="AY415" s="700">
        <f t="shared" si="167"/>
        <v>1313.1666666666667</v>
      </c>
      <c r="AZ415" s="697">
        <f t="shared" si="168"/>
        <v>1431.7333333333333</v>
      </c>
      <c r="BA415" s="680"/>
    </row>
    <row r="416" spans="1:53">
      <c r="A416" s="529" t="s">
        <v>659</v>
      </c>
      <c r="B416" s="294" t="s">
        <v>222</v>
      </c>
      <c r="C416" s="293">
        <v>207236</v>
      </c>
      <c r="D416" s="269">
        <v>10</v>
      </c>
      <c r="E416" s="148" t="s">
        <v>393</v>
      </c>
      <c r="F416" s="483"/>
      <c r="G416" s="679"/>
      <c r="H416" s="678"/>
      <c r="I416" s="706">
        <v>23182</v>
      </c>
      <c r="J416" s="688">
        <v>23210</v>
      </c>
      <c r="K416" s="706">
        <v>3683</v>
      </c>
      <c r="L416" s="688">
        <v>4575</v>
      </c>
      <c r="M416" s="706">
        <v>24045</v>
      </c>
      <c r="N416" s="687">
        <v>26281</v>
      </c>
      <c r="O416" s="694">
        <f t="shared" si="159"/>
        <v>50910</v>
      </c>
      <c r="P416" s="695">
        <f t="shared" si="175"/>
        <v>1697</v>
      </c>
      <c r="Q416" s="696">
        <f t="shared" si="160"/>
        <v>54066</v>
      </c>
      <c r="R416" s="697">
        <f t="shared" si="169"/>
        <v>1802.2</v>
      </c>
      <c r="S416" s="706">
        <v>3003</v>
      </c>
      <c r="T416" s="687">
        <v>2753</v>
      </c>
      <c r="U416" s="694">
        <f t="shared" si="161"/>
        <v>50910</v>
      </c>
      <c r="V416" s="698">
        <f t="shared" si="162"/>
        <v>54066</v>
      </c>
      <c r="W416" s="679"/>
      <c r="X416" s="678"/>
      <c r="Y416" s="679"/>
      <c r="Z416" s="687"/>
      <c r="AA416" s="679"/>
      <c r="AB416" s="687"/>
      <c r="AC416" s="679"/>
      <c r="AD416" s="687"/>
      <c r="AE416" s="694">
        <f t="shared" si="163"/>
        <v>0</v>
      </c>
      <c r="AF416" s="695">
        <f t="shared" si="170"/>
        <v>0</v>
      </c>
      <c r="AG416" s="696">
        <f t="shared" si="164"/>
        <v>0</v>
      </c>
      <c r="AH416" s="697">
        <f t="shared" si="171"/>
        <v>0</v>
      </c>
      <c r="AI416" s="679"/>
      <c r="AJ416" s="678"/>
      <c r="AK416" s="694">
        <f t="shared" si="165"/>
        <v>0</v>
      </c>
      <c r="AL416" s="698">
        <f t="shared" si="166"/>
        <v>0</v>
      </c>
      <c r="AM416" s="679"/>
      <c r="AN416" s="678"/>
      <c r="AO416" s="679"/>
      <c r="AP416" s="678"/>
      <c r="AQ416" s="679"/>
      <c r="AR416" s="678"/>
      <c r="AS416" s="679"/>
      <c r="AT416" s="678"/>
      <c r="AU416" s="699">
        <f t="shared" si="172"/>
        <v>0</v>
      </c>
      <c r="AV416" s="695">
        <f t="shared" si="176"/>
        <v>0</v>
      </c>
      <c r="AW416" s="696">
        <f t="shared" si="173"/>
        <v>0</v>
      </c>
      <c r="AX416" s="697">
        <f t="shared" si="174"/>
        <v>0</v>
      </c>
      <c r="AY416" s="700">
        <f t="shared" si="167"/>
        <v>1697</v>
      </c>
      <c r="AZ416" s="697">
        <f t="shared" si="168"/>
        <v>1802.2</v>
      </c>
      <c r="BA416" s="680"/>
    </row>
    <row r="417" spans="1:53">
      <c r="A417" s="529" t="s">
        <v>659</v>
      </c>
      <c r="B417" s="294" t="s">
        <v>223</v>
      </c>
      <c r="C417" s="293">
        <v>207290</v>
      </c>
      <c r="D417" s="269">
        <v>10</v>
      </c>
      <c r="E417" s="148" t="s">
        <v>393</v>
      </c>
      <c r="F417" s="483"/>
      <c r="G417" s="679"/>
      <c r="H417" s="678"/>
      <c r="I417" s="679">
        <v>19302</v>
      </c>
      <c r="J417" s="678">
        <v>20896</v>
      </c>
      <c r="K417" s="679">
        <v>3161</v>
      </c>
      <c r="L417" s="678">
        <v>3835</v>
      </c>
      <c r="M417" s="679">
        <v>23052</v>
      </c>
      <c r="N417" s="678">
        <v>27095</v>
      </c>
      <c r="O417" s="694">
        <f t="shared" si="159"/>
        <v>45515</v>
      </c>
      <c r="P417" s="695">
        <f t="shared" si="175"/>
        <v>1517.1666666666667</v>
      </c>
      <c r="Q417" s="696">
        <f t="shared" si="160"/>
        <v>51826</v>
      </c>
      <c r="R417" s="697">
        <f t="shared" si="169"/>
        <v>1727.5333333333333</v>
      </c>
      <c r="S417" s="679">
        <v>1056</v>
      </c>
      <c r="T417" s="678">
        <v>1428</v>
      </c>
      <c r="U417" s="694">
        <f t="shared" si="161"/>
        <v>45515</v>
      </c>
      <c r="V417" s="698">
        <f t="shared" si="162"/>
        <v>51826</v>
      </c>
      <c r="W417" s="679"/>
      <c r="X417" s="678"/>
      <c r="Y417" s="679"/>
      <c r="Z417" s="678"/>
      <c r="AA417" s="679"/>
      <c r="AB417" s="678"/>
      <c r="AC417" s="679"/>
      <c r="AD417" s="678"/>
      <c r="AE417" s="694">
        <f t="shared" si="163"/>
        <v>0</v>
      </c>
      <c r="AF417" s="695">
        <f t="shared" si="170"/>
        <v>0</v>
      </c>
      <c r="AG417" s="696">
        <f t="shared" si="164"/>
        <v>0</v>
      </c>
      <c r="AH417" s="697">
        <f t="shared" si="171"/>
        <v>0</v>
      </c>
      <c r="AI417" s="679"/>
      <c r="AJ417" s="678"/>
      <c r="AK417" s="694">
        <f t="shared" si="165"/>
        <v>0</v>
      </c>
      <c r="AL417" s="698">
        <f t="shared" si="166"/>
        <v>0</v>
      </c>
      <c r="AM417" s="679"/>
      <c r="AN417" s="678"/>
      <c r="AO417" s="679"/>
      <c r="AP417" s="678"/>
      <c r="AQ417" s="679"/>
      <c r="AR417" s="678"/>
      <c r="AS417" s="679"/>
      <c r="AT417" s="678"/>
      <c r="AU417" s="699">
        <f t="shared" si="172"/>
        <v>0</v>
      </c>
      <c r="AV417" s="695">
        <f t="shared" si="176"/>
        <v>0</v>
      </c>
      <c r="AW417" s="696">
        <f t="shared" si="173"/>
        <v>0</v>
      </c>
      <c r="AX417" s="697">
        <f t="shared" si="174"/>
        <v>0</v>
      </c>
      <c r="AY417" s="700">
        <f t="shared" si="167"/>
        <v>1517.1666666666667</v>
      </c>
      <c r="AZ417" s="697">
        <f t="shared" si="168"/>
        <v>1727.5333333333333</v>
      </c>
      <c r="BA417" s="680"/>
    </row>
    <row r="418" spans="1:53">
      <c r="A418" s="529" t="s">
        <v>659</v>
      </c>
      <c r="B418" s="294" t="s">
        <v>224</v>
      </c>
      <c r="C418" s="293">
        <v>207069</v>
      </c>
      <c r="D418" s="269">
        <v>10</v>
      </c>
      <c r="E418" s="148" t="s">
        <v>393</v>
      </c>
      <c r="F418" s="483"/>
      <c r="G418" s="679"/>
      <c r="H418" s="678"/>
      <c r="I418" s="679">
        <v>18306</v>
      </c>
      <c r="J418" s="678">
        <v>19116</v>
      </c>
      <c r="K418" s="679">
        <v>3829</v>
      </c>
      <c r="L418" s="678">
        <v>3911</v>
      </c>
      <c r="M418" s="679">
        <v>20265</v>
      </c>
      <c r="N418" s="678">
        <v>20585</v>
      </c>
      <c r="O418" s="694">
        <f t="shared" si="159"/>
        <v>42400</v>
      </c>
      <c r="P418" s="695">
        <f t="shared" si="175"/>
        <v>1413.3333333333333</v>
      </c>
      <c r="Q418" s="696">
        <f t="shared" si="160"/>
        <v>43612</v>
      </c>
      <c r="R418" s="697">
        <f t="shared" si="169"/>
        <v>1453.7333333333333</v>
      </c>
      <c r="S418" s="679">
        <v>5384</v>
      </c>
      <c r="T418" s="678">
        <v>5233</v>
      </c>
      <c r="U418" s="694">
        <f t="shared" si="161"/>
        <v>42400</v>
      </c>
      <c r="V418" s="698">
        <f t="shared" si="162"/>
        <v>43612</v>
      </c>
      <c r="W418" s="679"/>
      <c r="X418" s="678"/>
      <c r="Y418" s="679"/>
      <c r="Z418" s="678"/>
      <c r="AA418" s="679"/>
      <c r="AB418" s="678"/>
      <c r="AC418" s="679"/>
      <c r="AD418" s="678"/>
      <c r="AE418" s="694">
        <f t="shared" si="163"/>
        <v>0</v>
      </c>
      <c r="AF418" s="695">
        <f t="shared" si="170"/>
        <v>0</v>
      </c>
      <c r="AG418" s="696">
        <f t="shared" si="164"/>
        <v>0</v>
      </c>
      <c r="AH418" s="697">
        <f t="shared" si="171"/>
        <v>0</v>
      </c>
      <c r="AI418" s="679"/>
      <c r="AJ418" s="678"/>
      <c r="AK418" s="694">
        <f t="shared" si="165"/>
        <v>0</v>
      </c>
      <c r="AL418" s="698">
        <f t="shared" si="166"/>
        <v>0</v>
      </c>
      <c r="AM418" s="679"/>
      <c r="AN418" s="678"/>
      <c r="AO418" s="679"/>
      <c r="AP418" s="678"/>
      <c r="AQ418" s="679"/>
      <c r="AR418" s="678"/>
      <c r="AS418" s="679"/>
      <c r="AT418" s="678"/>
      <c r="AU418" s="699">
        <f t="shared" si="172"/>
        <v>0</v>
      </c>
      <c r="AV418" s="695">
        <f t="shared" si="176"/>
        <v>0</v>
      </c>
      <c r="AW418" s="696">
        <f t="shared" si="173"/>
        <v>0</v>
      </c>
      <c r="AX418" s="697">
        <f t="shared" si="174"/>
        <v>0</v>
      </c>
      <c r="AY418" s="700">
        <f t="shared" si="167"/>
        <v>1413.3333333333333</v>
      </c>
      <c r="AZ418" s="697">
        <f t="shared" si="168"/>
        <v>1453.7333333333333</v>
      </c>
      <c r="BA418" s="680"/>
    </row>
    <row r="419" spans="1:53">
      <c r="A419" s="529" t="s">
        <v>659</v>
      </c>
      <c r="B419" s="294" t="s">
        <v>225</v>
      </c>
      <c r="C419" s="293">
        <v>207740</v>
      </c>
      <c r="D419" s="269">
        <v>10</v>
      </c>
      <c r="E419" s="148" t="s">
        <v>393</v>
      </c>
      <c r="F419" s="483"/>
      <c r="G419" s="679"/>
      <c r="H419" s="678"/>
      <c r="I419" s="679">
        <v>18523</v>
      </c>
      <c r="J419" s="678">
        <v>19935</v>
      </c>
      <c r="K419" s="679">
        <v>2924</v>
      </c>
      <c r="L419" s="678">
        <v>3796</v>
      </c>
      <c r="M419" s="679">
        <v>21181</v>
      </c>
      <c r="N419" s="678">
        <v>25285</v>
      </c>
      <c r="O419" s="694">
        <f t="shared" si="159"/>
        <v>42628</v>
      </c>
      <c r="P419" s="695">
        <f t="shared" si="175"/>
        <v>1420.9333333333334</v>
      </c>
      <c r="Q419" s="696">
        <f t="shared" si="160"/>
        <v>49016</v>
      </c>
      <c r="R419" s="697">
        <f t="shared" si="169"/>
        <v>1633.8666666666666</v>
      </c>
      <c r="S419" s="679">
        <v>1634</v>
      </c>
      <c r="T419" s="678">
        <v>1580</v>
      </c>
      <c r="U419" s="694">
        <f t="shared" si="161"/>
        <v>42628</v>
      </c>
      <c r="V419" s="698">
        <f t="shared" si="162"/>
        <v>49016</v>
      </c>
      <c r="W419" s="679"/>
      <c r="X419" s="678"/>
      <c r="Y419" s="679"/>
      <c r="Z419" s="678"/>
      <c r="AA419" s="679"/>
      <c r="AB419" s="678"/>
      <c r="AC419" s="679"/>
      <c r="AD419" s="678"/>
      <c r="AE419" s="694">
        <f t="shared" si="163"/>
        <v>0</v>
      </c>
      <c r="AF419" s="695">
        <f t="shared" si="170"/>
        <v>0</v>
      </c>
      <c r="AG419" s="696">
        <f t="shared" si="164"/>
        <v>0</v>
      </c>
      <c r="AH419" s="697">
        <f t="shared" si="171"/>
        <v>0</v>
      </c>
      <c r="AI419" s="679"/>
      <c r="AJ419" s="678"/>
      <c r="AK419" s="694">
        <f t="shared" si="165"/>
        <v>0</v>
      </c>
      <c r="AL419" s="698">
        <f t="shared" si="166"/>
        <v>0</v>
      </c>
      <c r="AM419" s="679"/>
      <c r="AN419" s="678"/>
      <c r="AO419" s="679"/>
      <c r="AP419" s="678"/>
      <c r="AQ419" s="679"/>
      <c r="AR419" s="678"/>
      <c r="AS419" s="679"/>
      <c r="AT419" s="678"/>
      <c r="AU419" s="699">
        <f t="shared" si="172"/>
        <v>0</v>
      </c>
      <c r="AV419" s="695">
        <f t="shared" si="176"/>
        <v>0</v>
      </c>
      <c r="AW419" s="696">
        <f t="shared" si="173"/>
        <v>0</v>
      </c>
      <c r="AX419" s="697">
        <f t="shared" si="174"/>
        <v>0</v>
      </c>
      <c r="AY419" s="700">
        <f t="shared" si="167"/>
        <v>1420.9333333333334</v>
      </c>
      <c r="AZ419" s="697">
        <f t="shared" si="168"/>
        <v>1633.8666666666666</v>
      </c>
      <c r="BA419" s="680"/>
    </row>
    <row r="420" spans="1:53">
      <c r="A420" s="529" t="s">
        <v>659</v>
      </c>
      <c r="B420" s="294" t="s">
        <v>226</v>
      </c>
      <c r="C420" s="293">
        <v>208035</v>
      </c>
      <c r="D420" s="269">
        <v>10</v>
      </c>
      <c r="E420" s="148" t="s">
        <v>393</v>
      </c>
      <c r="F420" s="483"/>
      <c r="G420" s="679"/>
      <c r="H420" s="678"/>
      <c r="I420" s="679">
        <v>15299</v>
      </c>
      <c r="J420" s="678">
        <v>16472</v>
      </c>
      <c r="K420" s="679">
        <v>3068</v>
      </c>
      <c r="L420" s="678">
        <v>4857</v>
      </c>
      <c r="M420" s="679">
        <v>19849</v>
      </c>
      <c r="N420" s="678">
        <v>26550</v>
      </c>
      <c r="O420" s="694">
        <f t="shared" si="159"/>
        <v>38216</v>
      </c>
      <c r="P420" s="695">
        <f t="shared" si="175"/>
        <v>1273.8666666666666</v>
      </c>
      <c r="Q420" s="696">
        <f t="shared" si="160"/>
        <v>47879</v>
      </c>
      <c r="R420" s="697">
        <f t="shared" si="169"/>
        <v>1595.9666666666667</v>
      </c>
      <c r="S420" s="679">
        <v>1397</v>
      </c>
      <c r="T420" s="678">
        <v>1596</v>
      </c>
      <c r="U420" s="694">
        <f t="shared" si="161"/>
        <v>38216</v>
      </c>
      <c r="V420" s="698">
        <f t="shared" si="162"/>
        <v>47879</v>
      </c>
      <c r="W420" s="679"/>
      <c r="X420" s="678"/>
      <c r="Y420" s="679"/>
      <c r="Z420" s="678"/>
      <c r="AA420" s="679"/>
      <c r="AB420" s="678"/>
      <c r="AC420" s="679"/>
      <c r="AD420" s="678"/>
      <c r="AE420" s="694">
        <f t="shared" si="163"/>
        <v>0</v>
      </c>
      <c r="AF420" s="695">
        <f t="shared" si="170"/>
        <v>0</v>
      </c>
      <c r="AG420" s="696">
        <f t="shared" si="164"/>
        <v>0</v>
      </c>
      <c r="AH420" s="697">
        <f t="shared" si="171"/>
        <v>0</v>
      </c>
      <c r="AI420" s="679"/>
      <c r="AJ420" s="678"/>
      <c r="AK420" s="694">
        <f t="shared" si="165"/>
        <v>0</v>
      </c>
      <c r="AL420" s="698">
        <f t="shared" si="166"/>
        <v>0</v>
      </c>
      <c r="AM420" s="679"/>
      <c r="AN420" s="678"/>
      <c r="AO420" s="679"/>
      <c r="AP420" s="678"/>
      <c r="AQ420" s="679"/>
      <c r="AR420" s="678"/>
      <c r="AS420" s="679"/>
      <c r="AT420" s="678"/>
      <c r="AU420" s="699">
        <f t="shared" si="172"/>
        <v>0</v>
      </c>
      <c r="AV420" s="695">
        <f t="shared" si="176"/>
        <v>0</v>
      </c>
      <c r="AW420" s="696">
        <f t="shared" si="173"/>
        <v>0</v>
      </c>
      <c r="AX420" s="697">
        <f t="shared" si="174"/>
        <v>0</v>
      </c>
      <c r="AY420" s="700">
        <f t="shared" si="167"/>
        <v>1273.8666666666666</v>
      </c>
      <c r="AZ420" s="697">
        <f t="shared" si="168"/>
        <v>1595.9666666666667</v>
      </c>
      <c r="BA420" s="680"/>
    </row>
    <row r="421" spans="1:53">
      <c r="A421" s="532" t="s">
        <v>659</v>
      </c>
      <c r="B421" s="533" t="s">
        <v>667</v>
      </c>
      <c r="C421" s="534">
        <v>365374</v>
      </c>
      <c r="D421" s="535">
        <v>12</v>
      </c>
      <c r="E421" s="148" t="s">
        <v>393</v>
      </c>
      <c r="F421" s="483"/>
      <c r="G421" s="679"/>
      <c r="H421" s="678"/>
      <c r="I421" s="679"/>
      <c r="J421" s="678"/>
      <c r="K421" s="679"/>
      <c r="L421" s="678"/>
      <c r="M421" s="679"/>
      <c r="N421" s="678"/>
      <c r="O421" s="694">
        <f t="shared" si="159"/>
        <v>0</v>
      </c>
      <c r="P421" s="695">
        <f t="shared" si="175"/>
        <v>0</v>
      </c>
      <c r="Q421" s="696">
        <f t="shared" si="160"/>
        <v>0</v>
      </c>
      <c r="R421" s="697">
        <f t="shared" si="169"/>
        <v>0</v>
      </c>
      <c r="S421" s="679"/>
      <c r="T421" s="678"/>
      <c r="U421" s="694">
        <f t="shared" si="161"/>
        <v>0</v>
      </c>
      <c r="V421" s="698">
        <f t="shared" si="162"/>
        <v>0</v>
      </c>
      <c r="W421" s="679"/>
      <c r="X421" s="678"/>
      <c r="Y421" s="679"/>
      <c r="Z421" s="678"/>
      <c r="AA421" s="679"/>
      <c r="AB421" s="678"/>
      <c r="AC421" s="679">
        <v>955036.96</v>
      </c>
      <c r="AD421" s="678">
        <v>947204</v>
      </c>
      <c r="AE421" s="694">
        <f t="shared" si="163"/>
        <v>955036.96</v>
      </c>
      <c r="AF421" s="695">
        <f t="shared" si="170"/>
        <v>1061.1521777777778</v>
      </c>
      <c r="AG421" s="696">
        <f t="shared" si="164"/>
        <v>947204</v>
      </c>
      <c r="AH421" s="697">
        <f t="shared" si="171"/>
        <v>1052.4488888888889</v>
      </c>
      <c r="AI421" s="679"/>
      <c r="AJ421" s="678"/>
      <c r="AK421" s="694">
        <f t="shared" si="165"/>
        <v>0</v>
      </c>
      <c r="AL421" s="698">
        <f t="shared" si="166"/>
        <v>0</v>
      </c>
      <c r="AM421" s="679"/>
      <c r="AN421" s="678"/>
      <c r="AO421" s="679"/>
      <c r="AP421" s="678"/>
      <c r="AQ421" s="679"/>
      <c r="AR421" s="678"/>
      <c r="AS421" s="679"/>
      <c r="AT421" s="678"/>
      <c r="AU421" s="699">
        <f t="shared" si="172"/>
        <v>0</v>
      </c>
      <c r="AV421" s="695">
        <f t="shared" si="176"/>
        <v>0</v>
      </c>
      <c r="AW421" s="696">
        <f t="shared" si="173"/>
        <v>0</v>
      </c>
      <c r="AX421" s="697">
        <f t="shared" si="174"/>
        <v>0</v>
      </c>
      <c r="AY421" s="700">
        <f t="shared" si="167"/>
        <v>1061.1521777777778</v>
      </c>
      <c r="AZ421" s="697">
        <f t="shared" si="168"/>
        <v>1052.4488888888889</v>
      </c>
      <c r="BA421" s="680"/>
    </row>
    <row r="422" spans="1:53">
      <c r="A422" s="532" t="s">
        <v>659</v>
      </c>
      <c r="B422" s="284" t="s">
        <v>660</v>
      </c>
      <c r="C422" s="283">
        <v>245999</v>
      </c>
      <c r="D422" s="155">
        <v>12</v>
      </c>
      <c r="E422" s="148" t="s">
        <v>393</v>
      </c>
      <c r="F422" s="483"/>
      <c r="G422" s="679"/>
      <c r="H422" s="678"/>
      <c r="I422" s="679"/>
      <c r="J422" s="678"/>
      <c r="K422" s="679"/>
      <c r="L422" s="678"/>
      <c r="M422" s="679"/>
      <c r="N422" s="678"/>
      <c r="O422" s="694">
        <f t="shared" si="159"/>
        <v>0</v>
      </c>
      <c r="P422" s="695">
        <f t="shared" si="175"/>
        <v>0</v>
      </c>
      <c r="Q422" s="696">
        <f t="shared" si="160"/>
        <v>0</v>
      </c>
      <c r="R422" s="697">
        <f t="shared" si="169"/>
        <v>0</v>
      </c>
      <c r="S422" s="679"/>
      <c r="T422" s="678"/>
      <c r="U422" s="694">
        <f t="shared" si="161"/>
        <v>0</v>
      </c>
      <c r="V422" s="698">
        <f t="shared" si="162"/>
        <v>0</v>
      </c>
      <c r="W422" s="679"/>
      <c r="X422" s="678"/>
      <c r="Y422" s="679"/>
      <c r="Z422" s="678"/>
      <c r="AA422" s="679"/>
      <c r="AB422" s="678"/>
      <c r="AC422" s="679">
        <v>1856749.05</v>
      </c>
      <c r="AD422" s="678">
        <v>1618715</v>
      </c>
      <c r="AE422" s="694">
        <f t="shared" si="163"/>
        <v>1856749.05</v>
      </c>
      <c r="AF422" s="695">
        <f t="shared" si="170"/>
        <v>2063.0545000000002</v>
      </c>
      <c r="AG422" s="696">
        <f t="shared" si="164"/>
        <v>1618715</v>
      </c>
      <c r="AH422" s="697">
        <f t="shared" si="171"/>
        <v>1798.5722222222223</v>
      </c>
      <c r="AI422" s="679"/>
      <c r="AJ422" s="678"/>
      <c r="AK422" s="694">
        <f t="shared" si="165"/>
        <v>0</v>
      </c>
      <c r="AL422" s="698">
        <f t="shared" si="166"/>
        <v>0</v>
      </c>
      <c r="AM422" s="679"/>
      <c r="AN422" s="678"/>
      <c r="AO422" s="679"/>
      <c r="AP422" s="678"/>
      <c r="AQ422" s="679"/>
      <c r="AR422" s="678"/>
      <c r="AS422" s="679"/>
      <c r="AT422" s="678"/>
      <c r="AU422" s="699">
        <f t="shared" si="172"/>
        <v>0</v>
      </c>
      <c r="AV422" s="695">
        <f t="shared" si="176"/>
        <v>0</v>
      </c>
      <c r="AW422" s="696">
        <f t="shared" si="173"/>
        <v>0</v>
      </c>
      <c r="AX422" s="697">
        <f t="shared" si="174"/>
        <v>0</v>
      </c>
      <c r="AY422" s="700">
        <f t="shared" si="167"/>
        <v>2063.0545000000002</v>
      </c>
      <c r="AZ422" s="697">
        <f t="shared" si="168"/>
        <v>1798.5722222222223</v>
      </c>
      <c r="BA422" s="680"/>
    </row>
    <row r="423" spans="1:53">
      <c r="A423" s="532" t="s">
        <v>659</v>
      </c>
      <c r="B423" s="284" t="s">
        <v>661</v>
      </c>
      <c r="C423" s="283">
        <v>364548</v>
      </c>
      <c r="D423" s="155">
        <v>12</v>
      </c>
      <c r="E423" s="148" t="s">
        <v>393</v>
      </c>
      <c r="F423" s="483"/>
      <c r="G423" s="679"/>
      <c r="H423" s="678"/>
      <c r="I423" s="679"/>
      <c r="J423" s="678"/>
      <c r="K423" s="679"/>
      <c r="L423" s="678"/>
      <c r="M423" s="679"/>
      <c r="N423" s="678"/>
      <c r="O423" s="694">
        <f t="shared" si="159"/>
        <v>0</v>
      </c>
      <c r="P423" s="695">
        <f t="shared" si="175"/>
        <v>0</v>
      </c>
      <c r="Q423" s="696">
        <f t="shared" si="160"/>
        <v>0</v>
      </c>
      <c r="R423" s="697">
        <f t="shared" si="169"/>
        <v>0</v>
      </c>
      <c r="S423" s="679"/>
      <c r="T423" s="678"/>
      <c r="U423" s="694">
        <f t="shared" si="161"/>
        <v>0</v>
      </c>
      <c r="V423" s="698">
        <f t="shared" si="162"/>
        <v>0</v>
      </c>
      <c r="W423" s="679"/>
      <c r="X423" s="678"/>
      <c r="Y423" s="679"/>
      <c r="Z423" s="678"/>
      <c r="AA423" s="679"/>
      <c r="AB423" s="678"/>
      <c r="AC423" s="679">
        <v>946199.4</v>
      </c>
      <c r="AD423" s="678">
        <v>845922</v>
      </c>
      <c r="AE423" s="694">
        <f t="shared" si="163"/>
        <v>946199.4</v>
      </c>
      <c r="AF423" s="695">
        <f t="shared" si="170"/>
        <v>1051.3326666666667</v>
      </c>
      <c r="AG423" s="696">
        <f t="shared" si="164"/>
        <v>845922</v>
      </c>
      <c r="AH423" s="697">
        <f t="shared" si="171"/>
        <v>939.9133333333333</v>
      </c>
      <c r="AI423" s="679"/>
      <c r="AJ423" s="678"/>
      <c r="AK423" s="694">
        <f t="shared" si="165"/>
        <v>0</v>
      </c>
      <c r="AL423" s="698">
        <f t="shared" si="166"/>
        <v>0</v>
      </c>
      <c r="AM423" s="679"/>
      <c r="AN423" s="678"/>
      <c r="AO423" s="679"/>
      <c r="AP423" s="678"/>
      <c r="AQ423" s="679"/>
      <c r="AR423" s="678"/>
      <c r="AS423" s="679"/>
      <c r="AT423" s="678"/>
      <c r="AU423" s="699">
        <f t="shared" si="172"/>
        <v>0</v>
      </c>
      <c r="AV423" s="695">
        <f t="shared" si="176"/>
        <v>0</v>
      </c>
      <c r="AW423" s="696">
        <f t="shared" si="173"/>
        <v>0</v>
      </c>
      <c r="AX423" s="697">
        <f t="shared" si="174"/>
        <v>0</v>
      </c>
      <c r="AY423" s="700">
        <f t="shared" si="167"/>
        <v>1051.3326666666667</v>
      </c>
      <c r="AZ423" s="697">
        <f t="shared" si="168"/>
        <v>939.9133333333333</v>
      </c>
      <c r="BA423" s="680"/>
    </row>
    <row r="424" spans="1:53">
      <c r="A424" s="532" t="s">
        <v>659</v>
      </c>
      <c r="B424" s="284" t="s">
        <v>662</v>
      </c>
      <c r="C424" s="283">
        <v>363165</v>
      </c>
      <c r="D424" s="155">
        <v>12</v>
      </c>
      <c r="E424" s="148" t="s">
        <v>393</v>
      </c>
      <c r="F424" s="483"/>
      <c r="G424" s="679"/>
      <c r="H424" s="678"/>
      <c r="I424" s="679"/>
      <c r="J424" s="678"/>
      <c r="K424" s="679"/>
      <c r="L424" s="678"/>
      <c r="M424" s="679"/>
      <c r="N424" s="678"/>
      <c r="O424" s="694">
        <f t="shared" si="159"/>
        <v>0</v>
      </c>
      <c r="P424" s="695">
        <f t="shared" si="175"/>
        <v>0</v>
      </c>
      <c r="Q424" s="696">
        <f t="shared" si="160"/>
        <v>0</v>
      </c>
      <c r="R424" s="697">
        <f t="shared" si="169"/>
        <v>0</v>
      </c>
      <c r="S424" s="679"/>
      <c r="T424" s="678"/>
      <c r="U424" s="694">
        <f t="shared" si="161"/>
        <v>0</v>
      </c>
      <c r="V424" s="698">
        <f t="shared" si="162"/>
        <v>0</v>
      </c>
      <c r="W424" s="679"/>
      <c r="X424" s="678"/>
      <c r="Y424" s="679"/>
      <c r="Z424" s="678"/>
      <c r="AA424" s="679"/>
      <c r="AB424" s="678"/>
      <c r="AC424" s="679">
        <v>1385602.75</v>
      </c>
      <c r="AD424" s="678">
        <v>1233523</v>
      </c>
      <c r="AE424" s="694">
        <f t="shared" si="163"/>
        <v>1385602.75</v>
      </c>
      <c r="AF424" s="695">
        <f t="shared" si="170"/>
        <v>1539.5586111111111</v>
      </c>
      <c r="AG424" s="696">
        <f t="shared" si="164"/>
        <v>1233523</v>
      </c>
      <c r="AH424" s="697">
        <f t="shared" si="171"/>
        <v>1370.5811111111111</v>
      </c>
      <c r="AI424" s="679"/>
      <c r="AJ424" s="678"/>
      <c r="AK424" s="694">
        <f t="shared" si="165"/>
        <v>0</v>
      </c>
      <c r="AL424" s="698">
        <f t="shared" si="166"/>
        <v>0</v>
      </c>
      <c r="AM424" s="679"/>
      <c r="AN424" s="678"/>
      <c r="AO424" s="679"/>
      <c r="AP424" s="678"/>
      <c r="AQ424" s="679"/>
      <c r="AR424" s="678"/>
      <c r="AS424" s="679"/>
      <c r="AT424" s="678"/>
      <c r="AU424" s="699">
        <f t="shared" si="172"/>
        <v>0</v>
      </c>
      <c r="AV424" s="695">
        <f t="shared" si="176"/>
        <v>0</v>
      </c>
      <c r="AW424" s="696">
        <f t="shared" si="173"/>
        <v>0</v>
      </c>
      <c r="AX424" s="697">
        <f t="shared" si="174"/>
        <v>0</v>
      </c>
      <c r="AY424" s="700">
        <f t="shared" si="167"/>
        <v>1539.5586111111111</v>
      </c>
      <c r="AZ424" s="697">
        <f t="shared" si="168"/>
        <v>1370.5811111111111</v>
      </c>
      <c r="BA424" s="680"/>
    </row>
    <row r="425" spans="1:53">
      <c r="A425" s="532" t="s">
        <v>659</v>
      </c>
      <c r="B425" s="597" t="s">
        <v>664</v>
      </c>
      <c r="C425" s="537">
        <v>261393</v>
      </c>
      <c r="D425" s="155">
        <v>12</v>
      </c>
      <c r="E425" s="148" t="s">
        <v>393</v>
      </c>
      <c r="F425" s="483"/>
      <c r="G425" s="679"/>
      <c r="H425" s="678"/>
      <c r="I425" s="679"/>
      <c r="J425" s="678"/>
      <c r="K425" s="679"/>
      <c r="L425" s="678"/>
      <c r="M425" s="679"/>
      <c r="N425" s="678"/>
      <c r="O425" s="694">
        <f t="shared" si="159"/>
        <v>0</v>
      </c>
      <c r="P425" s="695">
        <f t="shared" si="175"/>
        <v>0</v>
      </c>
      <c r="Q425" s="696">
        <f t="shared" si="160"/>
        <v>0</v>
      </c>
      <c r="R425" s="697">
        <f t="shared" si="169"/>
        <v>0</v>
      </c>
      <c r="S425" s="679"/>
      <c r="T425" s="678"/>
      <c r="U425" s="694">
        <f t="shared" si="161"/>
        <v>0</v>
      </c>
      <c r="V425" s="698">
        <f t="shared" si="162"/>
        <v>0</v>
      </c>
      <c r="W425" s="679"/>
      <c r="X425" s="678"/>
      <c r="Y425" s="679"/>
      <c r="Z425" s="678"/>
      <c r="AA425" s="679"/>
      <c r="AB425" s="678"/>
      <c r="AC425" s="679">
        <v>972189.6</v>
      </c>
      <c r="AD425" s="678">
        <v>762882</v>
      </c>
      <c r="AE425" s="694">
        <f t="shared" si="163"/>
        <v>972189.6</v>
      </c>
      <c r="AF425" s="695">
        <f t="shared" si="170"/>
        <v>1080.2106666666666</v>
      </c>
      <c r="AG425" s="696">
        <f t="shared" si="164"/>
        <v>762882</v>
      </c>
      <c r="AH425" s="697">
        <f t="shared" si="171"/>
        <v>847.64666666666665</v>
      </c>
      <c r="AI425" s="679"/>
      <c r="AJ425" s="678"/>
      <c r="AK425" s="694">
        <f t="shared" si="165"/>
        <v>0</v>
      </c>
      <c r="AL425" s="698">
        <f t="shared" si="166"/>
        <v>0</v>
      </c>
      <c r="AM425" s="679"/>
      <c r="AN425" s="678"/>
      <c r="AO425" s="679"/>
      <c r="AP425" s="678"/>
      <c r="AQ425" s="679"/>
      <c r="AR425" s="678"/>
      <c r="AS425" s="679"/>
      <c r="AT425" s="678"/>
      <c r="AU425" s="699">
        <f t="shared" si="172"/>
        <v>0</v>
      </c>
      <c r="AV425" s="695">
        <f t="shared" si="176"/>
        <v>0</v>
      </c>
      <c r="AW425" s="696">
        <f t="shared" si="173"/>
        <v>0</v>
      </c>
      <c r="AX425" s="697">
        <f t="shared" si="174"/>
        <v>0</v>
      </c>
      <c r="AY425" s="700">
        <f t="shared" si="167"/>
        <v>1080.2106666666666</v>
      </c>
      <c r="AZ425" s="697">
        <f t="shared" si="168"/>
        <v>847.64666666666665</v>
      </c>
      <c r="BA425" s="680"/>
    </row>
    <row r="426" spans="1:53">
      <c r="A426" s="532" t="s">
        <v>659</v>
      </c>
      <c r="B426" s="284" t="s">
        <v>665</v>
      </c>
      <c r="C426" s="283">
        <v>365213</v>
      </c>
      <c r="D426" s="155">
        <v>13</v>
      </c>
      <c r="E426" s="148" t="s">
        <v>393</v>
      </c>
      <c r="F426" s="483"/>
      <c r="G426" s="679"/>
      <c r="H426" s="678"/>
      <c r="I426" s="679"/>
      <c r="J426" s="678"/>
      <c r="K426" s="679"/>
      <c r="L426" s="678"/>
      <c r="M426" s="679"/>
      <c r="N426" s="678"/>
      <c r="O426" s="694">
        <f t="shared" si="159"/>
        <v>0</v>
      </c>
      <c r="P426" s="695">
        <f t="shared" si="175"/>
        <v>0</v>
      </c>
      <c r="Q426" s="696">
        <f t="shared" si="160"/>
        <v>0</v>
      </c>
      <c r="R426" s="697">
        <f t="shared" si="169"/>
        <v>0</v>
      </c>
      <c r="S426" s="679"/>
      <c r="T426" s="678"/>
      <c r="U426" s="694">
        <f t="shared" si="161"/>
        <v>0</v>
      </c>
      <c r="V426" s="698">
        <f t="shared" si="162"/>
        <v>0</v>
      </c>
      <c r="W426" s="679"/>
      <c r="X426" s="678"/>
      <c r="Y426" s="679"/>
      <c r="Z426" s="678"/>
      <c r="AA426" s="679"/>
      <c r="AB426" s="678"/>
      <c r="AC426" s="679">
        <v>489328.79</v>
      </c>
      <c r="AD426" s="678">
        <v>474930</v>
      </c>
      <c r="AE426" s="694">
        <f t="shared" si="163"/>
        <v>489328.79</v>
      </c>
      <c r="AF426" s="695">
        <f t="shared" si="170"/>
        <v>543.69865555555555</v>
      </c>
      <c r="AG426" s="696">
        <f t="shared" si="164"/>
        <v>474930</v>
      </c>
      <c r="AH426" s="697">
        <f t="shared" si="171"/>
        <v>527.70000000000005</v>
      </c>
      <c r="AI426" s="679"/>
      <c r="AJ426" s="678"/>
      <c r="AK426" s="694">
        <f t="shared" si="165"/>
        <v>0</v>
      </c>
      <c r="AL426" s="698">
        <f t="shared" si="166"/>
        <v>0</v>
      </c>
      <c r="AM426" s="679"/>
      <c r="AN426" s="678"/>
      <c r="AO426" s="679"/>
      <c r="AP426" s="678"/>
      <c r="AQ426" s="679"/>
      <c r="AR426" s="678"/>
      <c r="AS426" s="679"/>
      <c r="AT426" s="678"/>
      <c r="AU426" s="699">
        <f t="shared" si="172"/>
        <v>0</v>
      </c>
      <c r="AV426" s="695">
        <f t="shared" si="176"/>
        <v>0</v>
      </c>
      <c r="AW426" s="696">
        <f t="shared" si="173"/>
        <v>0</v>
      </c>
      <c r="AX426" s="697">
        <f t="shared" si="174"/>
        <v>0</v>
      </c>
      <c r="AY426" s="700">
        <f t="shared" si="167"/>
        <v>543.69865555555555</v>
      </c>
      <c r="AZ426" s="697">
        <f t="shared" si="168"/>
        <v>527.70000000000005</v>
      </c>
      <c r="BA426" s="680"/>
    </row>
    <row r="427" spans="1:53">
      <c r="A427" s="532" t="s">
        <v>659</v>
      </c>
      <c r="B427" s="284" t="s">
        <v>666</v>
      </c>
      <c r="C427" s="283">
        <v>364946</v>
      </c>
      <c r="D427" s="155">
        <v>13</v>
      </c>
      <c r="E427" s="148" t="s">
        <v>393</v>
      </c>
      <c r="F427" s="483"/>
      <c r="G427" s="679"/>
      <c r="H427" s="678"/>
      <c r="I427" s="679"/>
      <c r="J427" s="678"/>
      <c r="K427" s="679"/>
      <c r="L427" s="678"/>
      <c r="M427" s="679"/>
      <c r="N427" s="678"/>
      <c r="O427" s="694">
        <f t="shared" si="159"/>
        <v>0</v>
      </c>
      <c r="P427" s="695">
        <f t="shared" si="175"/>
        <v>0</v>
      </c>
      <c r="Q427" s="696">
        <f t="shared" si="160"/>
        <v>0</v>
      </c>
      <c r="R427" s="697">
        <f t="shared" si="169"/>
        <v>0</v>
      </c>
      <c r="S427" s="679"/>
      <c r="T427" s="678"/>
      <c r="U427" s="694">
        <f t="shared" si="161"/>
        <v>0</v>
      </c>
      <c r="V427" s="698">
        <f t="shared" si="162"/>
        <v>0</v>
      </c>
      <c r="W427" s="679"/>
      <c r="X427" s="678"/>
      <c r="Y427" s="679"/>
      <c r="Z427" s="678"/>
      <c r="AA427" s="679"/>
      <c r="AB427" s="678"/>
      <c r="AC427" s="679">
        <v>389053.5</v>
      </c>
      <c r="AD427" s="678">
        <v>383883</v>
      </c>
      <c r="AE427" s="694">
        <f t="shared" si="163"/>
        <v>389053.5</v>
      </c>
      <c r="AF427" s="695">
        <f t="shared" si="170"/>
        <v>432.28166666666669</v>
      </c>
      <c r="AG427" s="696">
        <f t="shared" si="164"/>
        <v>383883</v>
      </c>
      <c r="AH427" s="697">
        <f t="shared" si="171"/>
        <v>426.53666666666669</v>
      </c>
      <c r="AI427" s="679"/>
      <c r="AJ427" s="678"/>
      <c r="AK427" s="694">
        <f t="shared" si="165"/>
        <v>0</v>
      </c>
      <c r="AL427" s="698">
        <f t="shared" si="166"/>
        <v>0</v>
      </c>
      <c r="AM427" s="679"/>
      <c r="AN427" s="678"/>
      <c r="AO427" s="679"/>
      <c r="AP427" s="678"/>
      <c r="AQ427" s="679"/>
      <c r="AR427" s="678"/>
      <c r="AS427" s="679"/>
      <c r="AT427" s="678"/>
      <c r="AU427" s="699">
        <f t="shared" si="172"/>
        <v>0</v>
      </c>
      <c r="AV427" s="695">
        <f t="shared" si="176"/>
        <v>0</v>
      </c>
      <c r="AW427" s="696">
        <f t="shared" si="173"/>
        <v>0</v>
      </c>
      <c r="AX427" s="697">
        <f t="shared" si="174"/>
        <v>0</v>
      </c>
      <c r="AY427" s="700">
        <f t="shared" si="167"/>
        <v>432.28166666666669</v>
      </c>
      <c r="AZ427" s="697">
        <f t="shared" si="168"/>
        <v>426.53666666666669</v>
      </c>
      <c r="BA427" s="680"/>
    </row>
    <row r="428" spans="1:53">
      <c r="A428" s="532" t="s">
        <v>659</v>
      </c>
      <c r="B428" s="284" t="s">
        <v>668</v>
      </c>
      <c r="C428" s="283">
        <v>246017</v>
      </c>
      <c r="D428" s="155">
        <v>13</v>
      </c>
      <c r="E428" s="148" t="s">
        <v>393</v>
      </c>
      <c r="F428" s="483"/>
      <c r="G428" s="679"/>
      <c r="H428" s="678"/>
      <c r="I428" s="679"/>
      <c r="J428" s="678"/>
      <c r="K428" s="679"/>
      <c r="L428" s="678"/>
      <c r="M428" s="679"/>
      <c r="N428" s="678"/>
      <c r="O428" s="694">
        <f t="shared" si="159"/>
        <v>0</v>
      </c>
      <c r="P428" s="695">
        <f t="shared" si="175"/>
        <v>0</v>
      </c>
      <c r="Q428" s="696">
        <f t="shared" si="160"/>
        <v>0</v>
      </c>
      <c r="R428" s="697">
        <f t="shared" si="169"/>
        <v>0</v>
      </c>
      <c r="S428" s="679"/>
      <c r="T428" s="678"/>
      <c r="U428" s="694">
        <f t="shared" si="161"/>
        <v>0</v>
      </c>
      <c r="V428" s="698">
        <f t="shared" si="162"/>
        <v>0</v>
      </c>
      <c r="W428" s="679"/>
      <c r="X428" s="678"/>
      <c r="Y428" s="679"/>
      <c r="Z428" s="678"/>
      <c r="AA428" s="679"/>
      <c r="AB428" s="678"/>
      <c r="AC428" s="679">
        <v>742077.04</v>
      </c>
      <c r="AD428" s="678">
        <v>774260</v>
      </c>
      <c r="AE428" s="694">
        <f t="shared" si="163"/>
        <v>742077.04</v>
      </c>
      <c r="AF428" s="695">
        <f t="shared" si="170"/>
        <v>824.53004444444446</v>
      </c>
      <c r="AG428" s="696">
        <f t="shared" si="164"/>
        <v>774260</v>
      </c>
      <c r="AH428" s="697">
        <f t="shared" si="171"/>
        <v>860.28888888888889</v>
      </c>
      <c r="AI428" s="679"/>
      <c r="AJ428" s="678"/>
      <c r="AK428" s="694">
        <f t="shared" si="165"/>
        <v>0</v>
      </c>
      <c r="AL428" s="698">
        <f t="shared" si="166"/>
        <v>0</v>
      </c>
      <c r="AM428" s="679"/>
      <c r="AN428" s="678"/>
      <c r="AO428" s="679"/>
      <c r="AP428" s="678"/>
      <c r="AQ428" s="679"/>
      <c r="AR428" s="678"/>
      <c r="AS428" s="679"/>
      <c r="AT428" s="678"/>
      <c r="AU428" s="699">
        <f t="shared" si="172"/>
        <v>0</v>
      </c>
      <c r="AV428" s="695">
        <f t="shared" si="176"/>
        <v>0</v>
      </c>
      <c r="AW428" s="696">
        <f t="shared" si="173"/>
        <v>0</v>
      </c>
      <c r="AX428" s="697">
        <f t="shared" si="174"/>
        <v>0</v>
      </c>
      <c r="AY428" s="700">
        <f t="shared" si="167"/>
        <v>824.53004444444446</v>
      </c>
      <c r="AZ428" s="697">
        <f t="shared" si="168"/>
        <v>860.28888888888889</v>
      </c>
      <c r="BA428" s="680"/>
    </row>
    <row r="429" spans="1:53">
      <c r="A429" s="532" t="s">
        <v>659</v>
      </c>
      <c r="B429" s="284" t="s">
        <v>669</v>
      </c>
      <c r="C429" s="283">
        <v>375656</v>
      </c>
      <c r="D429" s="155">
        <v>13</v>
      </c>
      <c r="E429" s="148" t="s">
        <v>393</v>
      </c>
      <c r="F429" s="483"/>
      <c r="G429" s="679"/>
      <c r="H429" s="678"/>
      <c r="I429" s="679"/>
      <c r="J429" s="678"/>
      <c r="K429" s="679"/>
      <c r="L429" s="678"/>
      <c r="M429" s="679"/>
      <c r="N429" s="678"/>
      <c r="O429" s="694">
        <f t="shared" si="159"/>
        <v>0</v>
      </c>
      <c r="P429" s="695">
        <f t="shared" si="175"/>
        <v>0</v>
      </c>
      <c r="Q429" s="696">
        <f t="shared" si="160"/>
        <v>0</v>
      </c>
      <c r="R429" s="697">
        <f t="shared" si="169"/>
        <v>0</v>
      </c>
      <c r="S429" s="679"/>
      <c r="T429" s="678"/>
      <c r="U429" s="694">
        <f t="shared" si="161"/>
        <v>0</v>
      </c>
      <c r="V429" s="698">
        <f t="shared" si="162"/>
        <v>0</v>
      </c>
      <c r="W429" s="679"/>
      <c r="X429" s="678"/>
      <c r="Y429" s="679"/>
      <c r="Z429" s="678"/>
      <c r="AA429" s="679"/>
      <c r="AB429" s="678"/>
      <c r="AC429" s="679">
        <v>78293.25</v>
      </c>
      <c r="AD429" s="678">
        <v>78196</v>
      </c>
      <c r="AE429" s="694">
        <f t="shared" si="163"/>
        <v>78293.25</v>
      </c>
      <c r="AF429" s="695">
        <f t="shared" si="170"/>
        <v>86.992500000000007</v>
      </c>
      <c r="AG429" s="696">
        <f t="shared" si="164"/>
        <v>78196</v>
      </c>
      <c r="AH429" s="697">
        <f t="shared" si="171"/>
        <v>86.884444444444441</v>
      </c>
      <c r="AI429" s="679"/>
      <c r="AJ429" s="678"/>
      <c r="AK429" s="694">
        <f t="shared" si="165"/>
        <v>0</v>
      </c>
      <c r="AL429" s="698">
        <f t="shared" si="166"/>
        <v>0</v>
      </c>
      <c r="AM429" s="679"/>
      <c r="AN429" s="678"/>
      <c r="AO429" s="679"/>
      <c r="AP429" s="678"/>
      <c r="AQ429" s="679"/>
      <c r="AR429" s="678"/>
      <c r="AS429" s="679"/>
      <c r="AT429" s="678"/>
      <c r="AU429" s="699">
        <f t="shared" si="172"/>
        <v>0</v>
      </c>
      <c r="AV429" s="695">
        <f t="shared" si="176"/>
        <v>0</v>
      </c>
      <c r="AW429" s="696">
        <f t="shared" si="173"/>
        <v>0</v>
      </c>
      <c r="AX429" s="697">
        <f t="shared" si="174"/>
        <v>0</v>
      </c>
      <c r="AY429" s="700">
        <f t="shared" si="167"/>
        <v>86.992500000000007</v>
      </c>
      <c r="AZ429" s="697">
        <f t="shared" si="168"/>
        <v>86.884444444444441</v>
      </c>
      <c r="BA429" s="680"/>
    </row>
    <row r="430" spans="1:53">
      <c r="A430" s="532" t="s">
        <v>659</v>
      </c>
      <c r="B430" s="284" t="s">
        <v>670</v>
      </c>
      <c r="C430" s="283">
        <v>418348</v>
      </c>
      <c r="D430" s="155">
        <v>13</v>
      </c>
      <c r="E430" s="148" t="s">
        <v>393</v>
      </c>
      <c r="F430" s="483"/>
      <c r="G430" s="679"/>
      <c r="H430" s="678"/>
      <c r="I430" s="679"/>
      <c r="J430" s="678"/>
      <c r="K430" s="679"/>
      <c r="L430" s="678"/>
      <c r="M430" s="679"/>
      <c r="N430" s="678"/>
      <c r="O430" s="694">
        <f t="shared" si="159"/>
        <v>0</v>
      </c>
      <c r="P430" s="695">
        <f t="shared" si="175"/>
        <v>0</v>
      </c>
      <c r="Q430" s="696">
        <f t="shared" si="160"/>
        <v>0</v>
      </c>
      <c r="R430" s="697">
        <f t="shared" si="169"/>
        <v>0</v>
      </c>
      <c r="S430" s="679"/>
      <c r="T430" s="678"/>
      <c r="U430" s="694">
        <f t="shared" si="161"/>
        <v>0</v>
      </c>
      <c r="V430" s="698">
        <f t="shared" si="162"/>
        <v>0</v>
      </c>
      <c r="W430" s="679"/>
      <c r="X430" s="678"/>
      <c r="Y430" s="679"/>
      <c r="Z430" s="678"/>
      <c r="AA430" s="679"/>
      <c r="AB430" s="678"/>
      <c r="AC430" s="679">
        <v>346572.5</v>
      </c>
      <c r="AD430" s="678">
        <v>375453</v>
      </c>
      <c r="AE430" s="694">
        <f t="shared" si="163"/>
        <v>346572.5</v>
      </c>
      <c r="AF430" s="695">
        <f t="shared" si="170"/>
        <v>385.08055555555558</v>
      </c>
      <c r="AG430" s="696">
        <f t="shared" si="164"/>
        <v>375453</v>
      </c>
      <c r="AH430" s="697">
        <f t="shared" si="171"/>
        <v>417.17</v>
      </c>
      <c r="AI430" s="679"/>
      <c r="AJ430" s="678"/>
      <c r="AK430" s="694">
        <f t="shared" si="165"/>
        <v>0</v>
      </c>
      <c r="AL430" s="698">
        <f t="shared" si="166"/>
        <v>0</v>
      </c>
      <c r="AM430" s="679"/>
      <c r="AN430" s="678"/>
      <c r="AO430" s="679"/>
      <c r="AP430" s="678"/>
      <c r="AQ430" s="679"/>
      <c r="AR430" s="678"/>
      <c r="AS430" s="679"/>
      <c r="AT430" s="678"/>
      <c r="AU430" s="699">
        <f t="shared" si="172"/>
        <v>0</v>
      </c>
      <c r="AV430" s="695">
        <f t="shared" si="176"/>
        <v>0</v>
      </c>
      <c r="AW430" s="696">
        <f t="shared" si="173"/>
        <v>0</v>
      </c>
      <c r="AX430" s="697">
        <f t="shared" si="174"/>
        <v>0</v>
      </c>
      <c r="AY430" s="700">
        <f t="shared" si="167"/>
        <v>385.08055555555558</v>
      </c>
      <c r="AZ430" s="697">
        <f t="shared" si="168"/>
        <v>417.17</v>
      </c>
      <c r="BA430" s="680"/>
    </row>
    <row r="431" spans="1:53">
      <c r="A431" s="532" t="s">
        <v>659</v>
      </c>
      <c r="B431" s="284" t="s">
        <v>671</v>
      </c>
      <c r="C431" s="283">
        <v>375683</v>
      </c>
      <c r="D431" s="155">
        <v>13</v>
      </c>
      <c r="E431" s="148" t="s">
        <v>393</v>
      </c>
      <c r="F431" s="483"/>
      <c r="G431" s="679"/>
      <c r="H431" s="678"/>
      <c r="I431" s="679"/>
      <c r="J431" s="678"/>
      <c r="K431" s="679"/>
      <c r="L431" s="678"/>
      <c r="M431" s="679"/>
      <c r="N431" s="678"/>
      <c r="O431" s="694">
        <f t="shared" si="159"/>
        <v>0</v>
      </c>
      <c r="P431" s="695">
        <f t="shared" si="175"/>
        <v>0</v>
      </c>
      <c r="Q431" s="696">
        <f t="shared" si="160"/>
        <v>0</v>
      </c>
      <c r="R431" s="697">
        <f t="shared" si="169"/>
        <v>0</v>
      </c>
      <c r="S431" s="679"/>
      <c r="T431" s="678"/>
      <c r="U431" s="694">
        <f t="shared" si="161"/>
        <v>0</v>
      </c>
      <c r="V431" s="698">
        <f t="shared" si="162"/>
        <v>0</v>
      </c>
      <c r="W431" s="679"/>
      <c r="X431" s="678"/>
      <c r="Y431" s="679"/>
      <c r="Z431" s="678"/>
      <c r="AA431" s="679"/>
      <c r="AB431" s="678"/>
      <c r="AC431" s="679">
        <v>638792.25</v>
      </c>
      <c r="AD431" s="678">
        <v>537252</v>
      </c>
      <c r="AE431" s="694">
        <f t="shared" si="163"/>
        <v>638792.25</v>
      </c>
      <c r="AF431" s="695">
        <f t="shared" si="170"/>
        <v>709.76916666666671</v>
      </c>
      <c r="AG431" s="696">
        <f t="shared" si="164"/>
        <v>537252</v>
      </c>
      <c r="AH431" s="697">
        <f t="shared" si="171"/>
        <v>596.94666666666672</v>
      </c>
      <c r="AI431" s="679"/>
      <c r="AJ431" s="678"/>
      <c r="AK431" s="694">
        <f t="shared" si="165"/>
        <v>0</v>
      </c>
      <c r="AL431" s="698">
        <f t="shared" si="166"/>
        <v>0</v>
      </c>
      <c r="AM431" s="679"/>
      <c r="AN431" s="678"/>
      <c r="AO431" s="679"/>
      <c r="AP431" s="678"/>
      <c r="AQ431" s="679"/>
      <c r="AR431" s="678"/>
      <c r="AS431" s="679"/>
      <c r="AT431" s="678"/>
      <c r="AU431" s="699">
        <f t="shared" si="172"/>
        <v>0</v>
      </c>
      <c r="AV431" s="695">
        <f t="shared" si="176"/>
        <v>0</v>
      </c>
      <c r="AW431" s="696">
        <f t="shared" si="173"/>
        <v>0</v>
      </c>
      <c r="AX431" s="697">
        <f t="shared" si="174"/>
        <v>0</v>
      </c>
      <c r="AY431" s="700">
        <f t="shared" si="167"/>
        <v>709.76916666666671</v>
      </c>
      <c r="AZ431" s="697">
        <f t="shared" si="168"/>
        <v>596.94666666666672</v>
      </c>
      <c r="BA431" s="680"/>
    </row>
    <row r="432" spans="1:53">
      <c r="A432" s="532" t="s">
        <v>659</v>
      </c>
      <c r="B432" s="284" t="s">
        <v>672</v>
      </c>
      <c r="C432" s="283">
        <v>428019</v>
      </c>
      <c r="D432" s="155">
        <v>13</v>
      </c>
      <c r="E432" s="148" t="s">
        <v>393</v>
      </c>
      <c r="F432" s="483"/>
      <c r="G432" s="679"/>
      <c r="H432" s="678"/>
      <c r="I432" s="679"/>
      <c r="J432" s="678"/>
      <c r="K432" s="679"/>
      <c r="L432" s="678"/>
      <c r="M432" s="679"/>
      <c r="N432" s="678"/>
      <c r="O432" s="694">
        <f t="shared" si="159"/>
        <v>0</v>
      </c>
      <c r="P432" s="695">
        <f t="shared" si="175"/>
        <v>0</v>
      </c>
      <c r="Q432" s="696">
        <f t="shared" si="160"/>
        <v>0</v>
      </c>
      <c r="R432" s="697">
        <f t="shared" si="169"/>
        <v>0</v>
      </c>
      <c r="S432" s="679"/>
      <c r="T432" s="678"/>
      <c r="U432" s="694">
        <f t="shared" si="161"/>
        <v>0</v>
      </c>
      <c r="V432" s="698">
        <f t="shared" si="162"/>
        <v>0</v>
      </c>
      <c r="W432" s="679"/>
      <c r="X432" s="678"/>
      <c r="Y432" s="679"/>
      <c r="Z432" s="678"/>
      <c r="AA432" s="679"/>
      <c r="AB432" s="678"/>
      <c r="AC432" s="679">
        <v>209785</v>
      </c>
      <c r="AD432" s="678">
        <v>209413</v>
      </c>
      <c r="AE432" s="694">
        <f t="shared" si="163"/>
        <v>209785</v>
      </c>
      <c r="AF432" s="695">
        <f t="shared" si="170"/>
        <v>233.09444444444443</v>
      </c>
      <c r="AG432" s="696">
        <f t="shared" si="164"/>
        <v>209413</v>
      </c>
      <c r="AH432" s="697">
        <f t="shared" si="171"/>
        <v>232.68111111111111</v>
      </c>
      <c r="AI432" s="679"/>
      <c r="AJ432" s="678"/>
      <c r="AK432" s="694">
        <f t="shared" si="165"/>
        <v>0</v>
      </c>
      <c r="AL432" s="698">
        <f t="shared" si="166"/>
        <v>0</v>
      </c>
      <c r="AM432" s="679"/>
      <c r="AN432" s="678"/>
      <c r="AO432" s="679"/>
      <c r="AP432" s="678"/>
      <c r="AQ432" s="679"/>
      <c r="AR432" s="678"/>
      <c r="AS432" s="679"/>
      <c r="AT432" s="678"/>
      <c r="AU432" s="699">
        <f t="shared" si="172"/>
        <v>0</v>
      </c>
      <c r="AV432" s="695">
        <f t="shared" si="176"/>
        <v>0</v>
      </c>
      <c r="AW432" s="696">
        <f t="shared" si="173"/>
        <v>0</v>
      </c>
      <c r="AX432" s="697">
        <f t="shared" si="174"/>
        <v>0</v>
      </c>
      <c r="AY432" s="700">
        <f t="shared" si="167"/>
        <v>233.09444444444443</v>
      </c>
      <c r="AZ432" s="697">
        <f t="shared" si="168"/>
        <v>232.68111111111111</v>
      </c>
      <c r="BA432" s="680"/>
    </row>
    <row r="433" spans="1:53">
      <c r="A433" s="532" t="s">
        <v>659</v>
      </c>
      <c r="B433" s="284" t="s">
        <v>673</v>
      </c>
      <c r="C433" s="283">
        <v>208053</v>
      </c>
      <c r="D433" s="155">
        <v>13</v>
      </c>
      <c r="E433" s="148" t="s">
        <v>393</v>
      </c>
      <c r="F433" s="483"/>
      <c r="G433" s="679"/>
      <c r="H433" s="678"/>
      <c r="I433" s="679"/>
      <c r="J433" s="678"/>
      <c r="K433" s="679"/>
      <c r="L433" s="678"/>
      <c r="M433" s="679"/>
      <c r="N433" s="678"/>
      <c r="O433" s="694">
        <f t="shared" si="159"/>
        <v>0</v>
      </c>
      <c r="P433" s="695">
        <f t="shared" si="175"/>
        <v>0</v>
      </c>
      <c r="Q433" s="696">
        <f t="shared" si="160"/>
        <v>0</v>
      </c>
      <c r="R433" s="697">
        <f t="shared" si="169"/>
        <v>0</v>
      </c>
      <c r="S433" s="679"/>
      <c r="T433" s="678"/>
      <c r="U433" s="694">
        <f t="shared" si="161"/>
        <v>0</v>
      </c>
      <c r="V433" s="698">
        <f t="shared" si="162"/>
        <v>0</v>
      </c>
      <c r="W433" s="679"/>
      <c r="X433" s="678"/>
      <c r="Y433" s="679"/>
      <c r="Z433" s="678"/>
      <c r="AA433" s="679"/>
      <c r="AB433" s="678"/>
      <c r="AC433" s="679">
        <v>278161.5</v>
      </c>
      <c r="AD433" s="678">
        <v>225215</v>
      </c>
      <c r="AE433" s="694">
        <f t="shared" si="163"/>
        <v>278161.5</v>
      </c>
      <c r="AF433" s="695">
        <f t="shared" si="170"/>
        <v>309.06833333333333</v>
      </c>
      <c r="AG433" s="696">
        <f t="shared" si="164"/>
        <v>225215</v>
      </c>
      <c r="AH433" s="697">
        <f t="shared" si="171"/>
        <v>250.23888888888888</v>
      </c>
      <c r="AI433" s="679"/>
      <c r="AJ433" s="678"/>
      <c r="AK433" s="694">
        <f t="shared" si="165"/>
        <v>0</v>
      </c>
      <c r="AL433" s="698">
        <f t="shared" si="166"/>
        <v>0</v>
      </c>
      <c r="AM433" s="679"/>
      <c r="AN433" s="678"/>
      <c r="AO433" s="679"/>
      <c r="AP433" s="678"/>
      <c r="AQ433" s="679"/>
      <c r="AR433" s="678"/>
      <c r="AS433" s="679"/>
      <c r="AT433" s="678"/>
      <c r="AU433" s="699">
        <f t="shared" si="172"/>
        <v>0</v>
      </c>
      <c r="AV433" s="695">
        <f t="shared" si="176"/>
        <v>0</v>
      </c>
      <c r="AW433" s="696">
        <f t="shared" si="173"/>
        <v>0</v>
      </c>
      <c r="AX433" s="697">
        <f t="shared" si="174"/>
        <v>0</v>
      </c>
      <c r="AY433" s="700">
        <f t="shared" si="167"/>
        <v>309.06833333333333</v>
      </c>
      <c r="AZ433" s="697">
        <f t="shared" si="168"/>
        <v>250.23888888888888</v>
      </c>
      <c r="BA433" s="680"/>
    </row>
    <row r="434" spans="1:53">
      <c r="A434" s="532" t="s">
        <v>659</v>
      </c>
      <c r="B434" s="588" t="s">
        <v>674</v>
      </c>
      <c r="C434" s="283">
        <v>418296</v>
      </c>
      <c r="D434" s="155">
        <v>13</v>
      </c>
      <c r="E434" s="148" t="s">
        <v>393</v>
      </c>
      <c r="F434" s="483"/>
      <c r="G434" s="679"/>
      <c r="H434" s="678"/>
      <c r="I434" s="679"/>
      <c r="J434" s="678"/>
      <c r="K434" s="679"/>
      <c r="L434" s="678"/>
      <c r="M434" s="679"/>
      <c r="N434" s="678"/>
      <c r="O434" s="694">
        <f t="shared" ref="O434:O497" si="177">SUM(G434,I434,K434,M434)</f>
        <v>0</v>
      </c>
      <c r="P434" s="695">
        <f t="shared" si="175"/>
        <v>0</v>
      </c>
      <c r="Q434" s="696">
        <f t="shared" ref="Q434:Q497" si="178">SUM(H434,J434,L434,N434)</f>
        <v>0</v>
      </c>
      <c r="R434" s="697">
        <f t="shared" si="169"/>
        <v>0</v>
      </c>
      <c r="S434" s="679"/>
      <c r="T434" s="678"/>
      <c r="U434" s="694">
        <f t="shared" ref="U434:U497" si="179">IF(OR(ISBLANK(S434),(S434="—")),0,O434)</f>
        <v>0</v>
      </c>
      <c r="V434" s="698">
        <f t="shared" ref="V434:V497" si="180">IF(OR(ISBLANK(T434),(T434="—")),0,Q434)</f>
        <v>0</v>
      </c>
      <c r="W434" s="679"/>
      <c r="X434" s="678"/>
      <c r="Y434" s="679"/>
      <c r="Z434" s="678"/>
      <c r="AA434" s="679"/>
      <c r="AB434" s="678"/>
      <c r="AC434" s="679">
        <v>530796</v>
      </c>
      <c r="AD434" s="678">
        <v>502138</v>
      </c>
      <c r="AE434" s="694">
        <f t="shared" ref="AE434:AE497" si="181">SUM(W434,Y434,AA434,AC434)</f>
        <v>530796</v>
      </c>
      <c r="AF434" s="695">
        <f t="shared" si="170"/>
        <v>589.77333333333331</v>
      </c>
      <c r="AG434" s="696">
        <f t="shared" ref="AG434:AG497" si="182">SUM(X434,Z434,AB434,AD434)</f>
        <v>502138</v>
      </c>
      <c r="AH434" s="697">
        <f t="shared" si="171"/>
        <v>557.93111111111114</v>
      </c>
      <c r="AI434" s="679"/>
      <c r="AJ434" s="678"/>
      <c r="AK434" s="694">
        <f t="shared" ref="AK434:AK497" si="183">IF(OR(ISBLANK(AI434),(AI434="—")),0,AE434)</f>
        <v>0</v>
      </c>
      <c r="AL434" s="698">
        <f t="shared" ref="AL434:AL497" si="184">IF(OR(ISBLANK(AJ434),(AJ434="—")),0,AG434)</f>
        <v>0</v>
      </c>
      <c r="AM434" s="679"/>
      <c r="AN434" s="678"/>
      <c r="AO434" s="679"/>
      <c r="AP434" s="678"/>
      <c r="AQ434" s="679"/>
      <c r="AR434" s="678"/>
      <c r="AS434" s="679"/>
      <c r="AT434" s="678"/>
      <c r="AU434" s="699">
        <f t="shared" si="172"/>
        <v>0</v>
      </c>
      <c r="AV434" s="695">
        <f t="shared" si="176"/>
        <v>0</v>
      </c>
      <c r="AW434" s="696">
        <f t="shared" si="173"/>
        <v>0</v>
      </c>
      <c r="AX434" s="697">
        <f t="shared" si="174"/>
        <v>0</v>
      </c>
      <c r="AY434" s="700">
        <f t="shared" ref="AY434:AY497" si="185">SUM(P434,AF434,AV434)</f>
        <v>589.77333333333331</v>
      </c>
      <c r="AZ434" s="697">
        <f t="shared" ref="AZ434:AZ497" si="186">SUM(R434,AH434,AX434)</f>
        <v>557.93111111111114</v>
      </c>
      <c r="BA434" s="680"/>
    </row>
    <row r="435" spans="1:53">
      <c r="A435" s="532" t="s">
        <v>659</v>
      </c>
      <c r="B435" s="588" t="s">
        <v>675</v>
      </c>
      <c r="C435" s="283">
        <v>421540</v>
      </c>
      <c r="D435" s="155">
        <v>13</v>
      </c>
      <c r="E435" s="148" t="s">
        <v>393</v>
      </c>
      <c r="F435" s="483"/>
      <c r="G435" s="679"/>
      <c r="H435" s="678"/>
      <c r="I435" s="679"/>
      <c r="J435" s="678"/>
      <c r="K435" s="679"/>
      <c r="L435" s="678"/>
      <c r="M435" s="679"/>
      <c r="N435" s="678"/>
      <c r="O435" s="694">
        <f t="shared" si="177"/>
        <v>0</v>
      </c>
      <c r="P435" s="695">
        <f t="shared" si="175"/>
        <v>0</v>
      </c>
      <c r="Q435" s="696">
        <f t="shared" si="178"/>
        <v>0</v>
      </c>
      <c r="R435" s="697">
        <f t="shared" si="169"/>
        <v>0</v>
      </c>
      <c r="S435" s="679"/>
      <c r="T435" s="678"/>
      <c r="U435" s="694">
        <f t="shared" si="179"/>
        <v>0</v>
      </c>
      <c r="V435" s="698">
        <f t="shared" si="180"/>
        <v>0</v>
      </c>
      <c r="W435" s="679"/>
      <c r="X435" s="678"/>
      <c r="Y435" s="679"/>
      <c r="Z435" s="678"/>
      <c r="AA435" s="679"/>
      <c r="AB435" s="678"/>
      <c r="AC435" s="679">
        <v>176953.5</v>
      </c>
      <c r="AD435" s="678">
        <v>162028</v>
      </c>
      <c r="AE435" s="694">
        <f t="shared" si="181"/>
        <v>176953.5</v>
      </c>
      <c r="AF435" s="695">
        <f t="shared" si="170"/>
        <v>196.61500000000001</v>
      </c>
      <c r="AG435" s="696">
        <f t="shared" si="182"/>
        <v>162028</v>
      </c>
      <c r="AH435" s="697">
        <f t="shared" si="171"/>
        <v>180.0311111111111</v>
      </c>
      <c r="AI435" s="679"/>
      <c r="AJ435" s="678"/>
      <c r="AK435" s="694">
        <f t="shared" si="183"/>
        <v>0</v>
      </c>
      <c r="AL435" s="698">
        <f t="shared" si="184"/>
        <v>0</v>
      </c>
      <c r="AM435" s="679"/>
      <c r="AN435" s="678"/>
      <c r="AO435" s="679"/>
      <c r="AP435" s="678"/>
      <c r="AQ435" s="679"/>
      <c r="AR435" s="678"/>
      <c r="AS435" s="679"/>
      <c r="AT435" s="678"/>
      <c r="AU435" s="699">
        <f t="shared" si="172"/>
        <v>0</v>
      </c>
      <c r="AV435" s="695">
        <f t="shared" si="176"/>
        <v>0</v>
      </c>
      <c r="AW435" s="696">
        <f t="shared" si="173"/>
        <v>0</v>
      </c>
      <c r="AX435" s="697">
        <f t="shared" si="174"/>
        <v>0</v>
      </c>
      <c r="AY435" s="700">
        <f t="shared" si="185"/>
        <v>196.61500000000001</v>
      </c>
      <c r="AZ435" s="697">
        <f t="shared" si="186"/>
        <v>180.0311111111111</v>
      </c>
      <c r="BA435" s="680"/>
    </row>
    <row r="436" spans="1:53">
      <c r="A436" s="532" t="s">
        <v>659</v>
      </c>
      <c r="B436" s="588" t="s">
        <v>676</v>
      </c>
      <c r="C436" s="283">
        <v>421559</v>
      </c>
      <c r="D436" s="155">
        <v>13</v>
      </c>
      <c r="E436" s="148" t="s">
        <v>393</v>
      </c>
      <c r="F436" s="483"/>
      <c r="G436" s="679"/>
      <c r="H436" s="678"/>
      <c r="I436" s="679"/>
      <c r="J436" s="678"/>
      <c r="K436" s="679"/>
      <c r="L436" s="678"/>
      <c r="M436" s="679"/>
      <c r="N436" s="678"/>
      <c r="O436" s="694">
        <f t="shared" si="177"/>
        <v>0</v>
      </c>
      <c r="P436" s="695">
        <f t="shared" si="175"/>
        <v>0</v>
      </c>
      <c r="Q436" s="696">
        <f t="shared" si="178"/>
        <v>0</v>
      </c>
      <c r="R436" s="697">
        <f t="shared" si="169"/>
        <v>0</v>
      </c>
      <c r="S436" s="679"/>
      <c r="T436" s="678"/>
      <c r="U436" s="694">
        <f t="shared" si="179"/>
        <v>0</v>
      </c>
      <c r="V436" s="698">
        <f t="shared" si="180"/>
        <v>0</v>
      </c>
      <c r="W436" s="679"/>
      <c r="X436" s="678"/>
      <c r="Y436" s="679"/>
      <c r="Z436" s="678"/>
      <c r="AA436" s="679"/>
      <c r="AB436" s="678"/>
      <c r="AC436" s="679">
        <v>96409.75</v>
      </c>
      <c r="AD436" s="678">
        <v>102296</v>
      </c>
      <c r="AE436" s="694">
        <f t="shared" si="181"/>
        <v>96409.75</v>
      </c>
      <c r="AF436" s="695">
        <f t="shared" si="170"/>
        <v>107.12194444444444</v>
      </c>
      <c r="AG436" s="696">
        <f t="shared" si="182"/>
        <v>102296</v>
      </c>
      <c r="AH436" s="697">
        <f t="shared" si="171"/>
        <v>113.66222222222223</v>
      </c>
      <c r="AI436" s="679"/>
      <c r="AJ436" s="678"/>
      <c r="AK436" s="694">
        <f t="shared" si="183"/>
        <v>0</v>
      </c>
      <c r="AL436" s="698">
        <f t="shared" si="184"/>
        <v>0</v>
      </c>
      <c r="AM436" s="679"/>
      <c r="AN436" s="678"/>
      <c r="AO436" s="679"/>
      <c r="AP436" s="678"/>
      <c r="AQ436" s="679"/>
      <c r="AR436" s="678"/>
      <c r="AS436" s="679"/>
      <c r="AT436" s="678"/>
      <c r="AU436" s="699">
        <f t="shared" si="172"/>
        <v>0</v>
      </c>
      <c r="AV436" s="695">
        <f t="shared" si="176"/>
        <v>0</v>
      </c>
      <c r="AW436" s="696">
        <f t="shared" si="173"/>
        <v>0</v>
      </c>
      <c r="AX436" s="697">
        <f t="shared" si="174"/>
        <v>0</v>
      </c>
      <c r="AY436" s="700">
        <f t="shared" si="185"/>
        <v>107.12194444444444</v>
      </c>
      <c r="AZ436" s="697">
        <f t="shared" si="186"/>
        <v>113.66222222222223</v>
      </c>
      <c r="BA436" s="680"/>
    </row>
    <row r="437" spans="1:53">
      <c r="A437" s="532" t="s">
        <v>659</v>
      </c>
      <c r="B437" s="588" t="s">
        <v>677</v>
      </c>
      <c r="C437" s="283">
        <v>208026</v>
      </c>
      <c r="D437" s="155">
        <v>13</v>
      </c>
      <c r="E437" s="148" t="s">
        <v>393</v>
      </c>
      <c r="F437" s="483"/>
      <c r="G437" s="679"/>
      <c r="H437" s="678"/>
      <c r="I437" s="679"/>
      <c r="J437" s="678"/>
      <c r="K437" s="679"/>
      <c r="L437" s="678"/>
      <c r="M437" s="679"/>
      <c r="N437" s="678"/>
      <c r="O437" s="694">
        <f t="shared" si="177"/>
        <v>0</v>
      </c>
      <c r="P437" s="695">
        <f t="shared" si="175"/>
        <v>0</v>
      </c>
      <c r="Q437" s="696">
        <f t="shared" si="178"/>
        <v>0</v>
      </c>
      <c r="R437" s="697">
        <f t="shared" si="169"/>
        <v>0</v>
      </c>
      <c r="S437" s="679"/>
      <c r="T437" s="678"/>
      <c r="U437" s="694">
        <f t="shared" si="179"/>
        <v>0</v>
      </c>
      <c r="V437" s="698">
        <f t="shared" si="180"/>
        <v>0</v>
      </c>
      <c r="W437" s="679"/>
      <c r="X437" s="678"/>
      <c r="Y437" s="679"/>
      <c r="Z437" s="678"/>
      <c r="AA437" s="679"/>
      <c r="AB437" s="678"/>
      <c r="AC437" s="679">
        <v>193509.75</v>
      </c>
      <c r="AD437" s="678">
        <v>245947</v>
      </c>
      <c r="AE437" s="694">
        <f t="shared" si="181"/>
        <v>193509.75</v>
      </c>
      <c r="AF437" s="695">
        <f t="shared" si="170"/>
        <v>215.01083333333332</v>
      </c>
      <c r="AG437" s="696">
        <f t="shared" si="182"/>
        <v>245947</v>
      </c>
      <c r="AH437" s="697">
        <f t="shared" si="171"/>
        <v>273.27444444444444</v>
      </c>
      <c r="AI437" s="679"/>
      <c r="AJ437" s="678"/>
      <c r="AK437" s="694">
        <f t="shared" si="183"/>
        <v>0</v>
      </c>
      <c r="AL437" s="698">
        <f t="shared" si="184"/>
        <v>0</v>
      </c>
      <c r="AM437" s="679"/>
      <c r="AN437" s="678"/>
      <c r="AO437" s="679"/>
      <c r="AP437" s="678"/>
      <c r="AQ437" s="679"/>
      <c r="AR437" s="678"/>
      <c r="AS437" s="679"/>
      <c r="AT437" s="678"/>
      <c r="AU437" s="699">
        <f t="shared" si="172"/>
        <v>0</v>
      </c>
      <c r="AV437" s="695">
        <f t="shared" si="176"/>
        <v>0</v>
      </c>
      <c r="AW437" s="696">
        <f t="shared" si="173"/>
        <v>0</v>
      </c>
      <c r="AX437" s="697">
        <f t="shared" si="174"/>
        <v>0</v>
      </c>
      <c r="AY437" s="700">
        <f t="shared" si="185"/>
        <v>215.01083333333332</v>
      </c>
      <c r="AZ437" s="697">
        <f t="shared" si="186"/>
        <v>273.27444444444444</v>
      </c>
      <c r="BA437" s="680"/>
    </row>
    <row r="438" spans="1:53">
      <c r="A438" s="532" t="s">
        <v>659</v>
      </c>
      <c r="B438" s="589" t="s">
        <v>678</v>
      </c>
      <c r="C438" s="283">
        <v>375692</v>
      </c>
      <c r="D438" s="155">
        <v>13</v>
      </c>
      <c r="E438" s="148" t="s">
        <v>393</v>
      </c>
      <c r="F438" s="483"/>
      <c r="G438" s="679"/>
      <c r="H438" s="678"/>
      <c r="I438" s="679"/>
      <c r="J438" s="678"/>
      <c r="K438" s="679"/>
      <c r="L438" s="678"/>
      <c r="M438" s="679"/>
      <c r="N438" s="678"/>
      <c r="O438" s="694">
        <f t="shared" si="177"/>
        <v>0</v>
      </c>
      <c r="P438" s="695">
        <f t="shared" si="175"/>
        <v>0</v>
      </c>
      <c r="Q438" s="696">
        <f t="shared" si="178"/>
        <v>0</v>
      </c>
      <c r="R438" s="697">
        <f t="shared" si="169"/>
        <v>0</v>
      </c>
      <c r="S438" s="679"/>
      <c r="T438" s="678"/>
      <c r="U438" s="694">
        <f t="shared" si="179"/>
        <v>0</v>
      </c>
      <c r="V438" s="698">
        <f t="shared" si="180"/>
        <v>0</v>
      </c>
      <c r="W438" s="679"/>
      <c r="X438" s="678"/>
      <c r="Y438" s="679"/>
      <c r="Z438" s="678"/>
      <c r="AA438" s="679"/>
      <c r="AB438" s="678"/>
      <c r="AC438" s="679">
        <v>138150</v>
      </c>
      <c r="AD438" s="678">
        <v>158591</v>
      </c>
      <c r="AE438" s="694">
        <f t="shared" si="181"/>
        <v>138150</v>
      </c>
      <c r="AF438" s="695">
        <f t="shared" si="170"/>
        <v>153.5</v>
      </c>
      <c r="AG438" s="696">
        <f t="shared" si="182"/>
        <v>158591</v>
      </c>
      <c r="AH438" s="697">
        <f t="shared" si="171"/>
        <v>176.21222222222221</v>
      </c>
      <c r="AI438" s="679"/>
      <c r="AJ438" s="678"/>
      <c r="AK438" s="694">
        <f t="shared" si="183"/>
        <v>0</v>
      </c>
      <c r="AL438" s="698">
        <f t="shared" si="184"/>
        <v>0</v>
      </c>
      <c r="AM438" s="679"/>
      <c r="AN438" s="678"/>
      <c r="AO438" s="679"/>
      <c r="AP438" s="678"/>
      <c r="AQ438" s="679"/>
      <c r="AR438" s="678"/>
      <c r="AS438" s="679"/>
      <c r="AT438" s="678"/>
      <c r="AU438" s="699">
        <f t="shared" si="172"/>
        <v>0</v>
      </c>
      <c r="AV438" s="695">
        <f t="shared" si="176"/>
        <v>0</v>
      </c>
      <c r="AW438" s="696">
        <f t="shared" si="173"/>
        <v>0</v>
      </c>
      <c r="AX438" s="697">
        <f t="shared" si="174"/>
        <v>0</v>
      </c>
      <c r="AY438" s="700">
        <f t="shared" si="185"/>
        <v>153.5</v>
      </c>
      <c r="AZ438" s="697">
        <f t="shared" si="186"/>
        <v>176.21222222222221</v>
      </c>
      <c r="BA438" s="680"/>
    </row>
    <row r="439" spans="1:53">
      <c r="A439" s="532" t="s">
        <v>659</v>
      </c>
      <c r="B439" s="589" t="s">
        <v>679</v>
      </c>
      <c r="C439" s="283">
        <v>375708</v>
      </c>
      <c r="D439" s="155">
        <v>13</v>
      </c>
      <c r="E439" s="148" t="s">
        <v>393</v>
      </c>
      <c r="F439" s="483"/>
      <c r="G439" s="679"/>
      <c r="H439" s="678"/>
      <c r="I439" s="679"/>
      <c r="J439" s="678"/>
      <c r="K439" s="679"/>
      <c r="L439" s="678"/>
      <c r="M439" s="679"/>
      <c r="N439" s="678"/>
      <c r="O439" s="694">
        <f t="shared" si="177"/>
        <v>0</v>
      </c>
      <c r="P439" s="695">
        <f t="shared" si="175"/>
        <v>0</v>
      </c>
      <c r="Q439" s="696">
        <f t="shared" si="178"/>
        <v>0</v>
      </c>
      <c r="R439" s="697">
        <f t="shared" si="169"/>
        <v>0</v>
      </c>
      <c r="S439" s="679"/>
      <c r="T439" s="678"/>
      <c r="U439" s="694">
        <f t="shared" si="179"/>
        <v>0</v>
      </c>
      <c r="V439" s="698">
        <f t="shared" si="180"/>
        <v>0</v>
      </c>
      <c r="W439" s="679"/>
      <c r="X439" s="678"/>
      <c r="Y439" s="679"/>
      <c r="Z439" s="678"/>
      <c r="AA439" s="679"/>
      <c r="AB439" s="678"/>
      <c r="AC439" s="679">
        <v>268212.71999999997</v>
      </c>
      <c r="AD439" s="678">
        <v>213990</v>
      </c>
      <c r="AE439" s="694">
        <f t="shared" si="181"/>
        <v>268212.71999999997</v>
      </c>
      <c r="AF439" s="695">
        <f t="shared" si="170"/>
        <v>298.01413333333329</v>
      </c>
      <c r="AG439" s="696">
        <f t="shared" si="182"/>
        <v>213990</v>
      </c>
      <c r="AH439" s="697">
        <f t="shared" si="171"/>
        <v>237.76666666666668</v>
      </c>
      <c r="AI439" s="679"/>
      <c r="AJ439" s="678"/>
      <c r="AK439" s="694">
        <f t="shared" si="183"/>
        <v>0</v>
      </c>
      <c r="AL439" s="698">
        <f t="shared" si="184"/>
        <v>0</v>
      </c>
      <c r="AM439" s="679"/>
      <c r="AN439" s="678"/>
      <c r="AO439" s="679"/>
      <c r="AP439" s="678"/>
      <c r="AQ439" s="679"/>
      <c r="AR439" s="678"/>
      <c r="AS439" s="679"/>
      <c r="AT439" s="678"/>
      <c r="AU439" s="699">
        <f t="shared" si="172"/>
        <v>0</v>
      </c>
      <c r="AV439" s="695">
        <f t="shared" si="176"/>
        <v>0</v>
      </c>
      <c r="AW439" s="696">
        <f t="shared" si="173"/>
        <v>0</v>
      </c>
      <c r="AX439" s="697">
        <f t="shared" si="174"/>
        <v>0</v>
      </c>
      <c r="AY439" s="700">
        <f t="shared" si="185"/>
        <v>298.01413333333329</v>
      </c>
      <c r="AZ439" s="697">
        <f t="shared" si="186"/>
        <v>237.76666666666668</v>
      </c>
      <c r="BA439" s="680"/>
    </row>
    <row r="440" spans="1:53">
      <c r="A440" s="532" t="s">
        <v>659</v>
      </c>
      <c r="B440" s="589" t="s">
        <v>680</v>
      </c>
      <c r="C440" s="283">
        <v>375717</v>
      </c>
      <c r="D440" s="155">
        <v>13</v>
      </c>
      <c r="E440" s="148" t="s">
        <v>393</v>
      </c>
      <c r="F440" s="483"/>
      <c r="G440" s="679"/>
      <c r="H440" s="678"/>
      <c r="I440" s="679"/>
      <c r="J440" s="678"/>
      <c r="K440" s="679"/>
      <c r="L440" s="678"/>
      <c r="M440" s="679"/>
      <c r="N440" s="678"/>
      <c r="O440" s="694">
        <f t="shared" si="177"/>
        <v>0</v>
      </c>
      <c r="P440" s="695">
        <f t="shared" si="175"/>
        <v>0</v>
      </c>
      <c r="Q440" s="696">
        <f t="shared" si="178"/>
        <v>0</v>
      </c>
      <c r="R440" s="697">
        <f t="shared" si="169"/>
        <v>0</v>
      </c>
      <c r="S440" s="679"/>
      <c r="T440" s="678"/>
      <c r="U440" s="694">
        <f t="shared" si="179"/>
        <v>0</v>
      </c>
      <c r="V440" s="698">
        <f t="shared" si="180"/>
        <v>0</v>
      </c>
      <c r="W440" s="679"/>
      <c r="X440" s="678"/>
      <c r="Y440" s="679"/>
      <c r="Z440" s="678"/>
      <c r="AA440" s="679"/>
      <c r="AB440" s="678"/>
      <c r="AC440" s="679">
        <v>164520.5</v>
      </c>
      <c r="AD440" s="678">
        <v>181295</v>
      </c>
      <c r="AE440" s="694">
        <f t="shared" si="181"/>
        <v>164520.5</v>
      </c>
      <c r="AF440" s="695">
        <f t="shared" si="170"/>
        <v>182.80055555555555</v>
      </c>
      <c r="AG440" s="696">
        <f t="shared" si="182"/>
        <v>181295</v>
      </c>
      <c r="AH440" s="697">
        <f t="shared" si="171"/>
        <v>201.4388888888889</v>
      </c>
      <c r="AI440" s="679"/>
      <c r="AJ440" s="678"/>
      <c r="AK440" s="694">
        <f t="shared" si="183"/>
        <v>0</v>
      </c>
      <c r="AL440" s="698">
        <f t="shared" si="184"/>
        <v>0</v>
      </c>
      <c r="AM440" s="679"/>
      <c r="AN440" s="678"/>
      <c r="AO440" s="679"/>
      <c r="AP440" s="678"/>
      <c r="AQ440" s="679"/>
      <c r="AR440" s="678"/>
      <c r="AS440" s="679"/>
      <c r="AT440" s="678"/>
      <c r="AU440" s="699">
        <f t="shared" si="172"/>
        <v>0</v>
      </c>
      <c r="AV440" s="695">
        <f t="shared" si="176"/>
        <v>0</v>
      </c>
      <c r="AW440" s="696">
        <f t="shared" si="173"/>
        <v>0</v>
      </c>
      <c r="AX440" s="697">
        <f t="shared" si="174"/>
        <v>0</v>
      </c>
      <c r="AY440" s="700">
        <f t="shared" si="185"/>
        <v>182.80055555555555</v>
      </c>
      <c r="AZ440" s="697">
        <f t="shared" si="186"/>
        <v>201.4388888888889</v>
      </c>
      <c r="BA440" s="680"/>
    </row>
    <row r="441" spans="1:53">
      <c r="A441" s="532" t="s">
        <v>659</v>
      </c>
      <c r="B441" s="589" t="s">
        <v>681</v>
      </c>
      <c r="C441" s="283">
        <v>375735</v>
      </c>
      <c r="D441" s="155">
        <v>13</v>
      </c>
      <c r="E441" s="148" t="s">
        <v>393</v>
      </c>
      <c r="F441" s="483"/>
      <c r="G441" s="679"/>
      <c r="H441" s="678"/>
      <c r="I441" s="679"/>
      <c r="J441" s="678"/>
      <c r="K441" s="679"/>
      <c r="L441" s="678"/>
      <c r="M441" s="679"/>
      <c r="N441" s="678"/>
      <c r="O441" s="694">
        <f t="shared" si="177"/>
        <v>0</v>
      </c>
      <c r="P441" s="695">
        <f t="shared" si="175"/>
        <v>0</v>
      </c>
      <c r="Q441" s="696">
        <f t="shared" si="178"/>
        <v>0</v>
      </c>
      <c r="R441" s="697">
        <f t="shared" si="169"/>
        <v>0</v>
      </c>
      <c r="S441" s="679"/>
      <c r="T441" s="678"/>
      <c r="U441" s="694">
        <f t="shared" si="179"/>
        <v>0</v>
      </c>
      <c r="V441" s="698">
        <f t="shared" si="180"/>
        <v>0</v>
      </c>
      <c r="W441" s="679"/>
      <c r="X441" s="678"/>
      <c r="Y441" s="679"/>
      <c r="Z441" s="678"/>
      <c r="AA441" s="679"/>
      <c r="AB441" s="678"/>
      <c r="AC441" s="679">
        <v>218790.5</v>
      </c>
      <c r="AD441" s="678">
        <v>210291</v>
      </c>
      <c r="AE441" s="694">
        <f t="shared" si="181"/>
        <v>218790.5</v>
      </c>
      <c r="AF441" s="695">
        <f t="shared" si="170"/>
        <v>243.10055555555556</v>
      </c>
      <c r="AG441" s="696">
        <f t="shared" si="182"/>
        <v>210291</v>
      </c>
      <c r="AH441" s="697">
        <f t="shared" si="171"/>
        <v>233.65666666666667</v>
      </c>
      <c r="AI441" s="679"/>
      <c r="AJ441" s="678"/>
      <c r="AK441" s="694">
        <f t="shared" si="183"/>
        <v>0</v>
      </c>
      <c r="AL441" s="698">
        <f t="shared" si="184"/>
        <v>0</v>
      </c>
      <c r="AM441" s="679"/>
      <c r="AN441" s="678"/>
      <c r="AO441" s="679"/>
      <c r="AP441" s="678"/>
      <c r="AQ441" s="679"/>
      <c r="AR441" s="678"/>
      <c r="AS441" s="679"/>
      <c r="AT441" s="678"/>
      <c r="AU441" s="699">
        <f t="shared" si="172"/>
        <v>0</v>
      </c>
      <c r="AV441" s="695">
        <f t="shared" si="176"/>
        <v>0</v>
      </c>
      <c r="AW441" s="696">
        <f t="shared" si="173"/>
        <v>0</v>
      </c>
      <c r="AX441" s="697">
        <f t="shared" si="174"/>
        <v>0</v>
      </c>
      <c r="AY441" s="700">
        <f t="shared" si="185"/>
        <v>243.10055555555556</v>
      </c>
      <c r="AZ441" s="697">
        <f t="shared" si="186"/>
        <v>233.65666666666667</v>
      </c>
      <c r="BA441" s="680"/>
    </row>
    <row r="442" spans="1:53">
      <c r="A442" s="532" t="s">
        <v>659</v>
      </c>
      <c r="B442" s="589" t="s">
        <v>682</v>
      </c>
      <c r="C442" s="283">
        <v>375726</v>
      </c>
      <c r="D442" s="155">
        <v>13</v>
      </c>
      <c r="E442" s="148" t="s">
        <v>393</v>
      </c>
      <c r="F442" s="483"/>
      <c r="G442" s="679"/>
      <c r="H442" s="678"/>
      <c r="I442" s="679"/>
      <c r="J442" s="678"/>
      <c r="K442" s="679"/>
      <c r="L442" s="678"/>
      <c r="M442" s="679"/>
      <c r="N442" s="678"/>
      <c r="O442" s="694">
        <f t="shared" si="177"/>
        <v>0</v>
      </c>
      <c r="P442" s="695">
        <f t="shared" si="175"/>
        <v>0</v>
      </c>
      <c r="Q442" s="696">
        <f t="shared" si="178"/>
        <v>0</v>
      </c>
      <c r="R442" s="697">
        <f t="shared" si="169"/>
        <v>0</v>
      </c>
      <c r="S442" s="679"/>
      <c r="T442" s="678"/>
      <c r="U442" s="694">
        <f t="shared" si="179"/>
        <v>0</v>
      </c>
      <c r="V442" s="698">
        <f t="shared" si="180"/>
        <v>0</v>
      </c>
      <c r="W442" s="679"/>
      <c r="X442" s="678"/>
      <c r="Y442" s="679"/>
      <c r="Z442" s="678"/>
      <c r="AA442" s="679"/>
      <c r="AB442" s="678"/>
      <c r="AC442" s="679">
        <v>283243</v>
      </c>
      <c r="AD442" s="678">
        <v>294008</v>
      </c>
      <c r="AE442" s="694">
        <f t="shared" si="181"/>
        <v>283243</v>
      </c>
      <c r="AF442" s="695">
        <f t="shared" si="170"/>
        <v>314.71444444444444</v>
      </c>
      <c r="AG442" s="696">
        <f t="shared" si="182"/>
        <v>294008</v>
      </c>
      <c r="AH442" s="697">
        <f t="shared" si="171"/>
        <v>326.67555555555555</v>
      </c>
      <c r="AI442" s="679"/>
      <c r="AJ442" s="678"/>
      <c r="AK442" s="694">
        <f t="shared" si="183"/>
        <v>0</v>
      </c>
      <c r="AL442" s="698">
        <f t="shared" si="184"/>
        <v>0</v>
      </c>
      <c r="AM442" s="679"/>
      <c r="AN442" s="678"/>
      <c r="AO442" s="679"/>
      <c r="AP442" s="678"/>
      <c r="AQ442" s="679"/>
      <c r="AR442" s="678"/>
      <c r="AS442" s="679"/>
      <c r="AT442" s="678"/>
      <c r="AU442" s="699">
        <f t="shared" si="172"/>
        <v>0</v>
      </c>
      <c r="AV442" s="695">
        <f t="shared" si="176"/>
        <v>0</v>
      </c>
      <c r="AW442" s="696">
        <f t="shared" si="173"/>
        <v>0</v>
      </c>
      <c r="AX442" s="697">
        <f t="shared" si="174"/>
        <v>0</v>
      </c>
      <c r="AY442" s="700">
        <f t="shared" si="185"/>
        <v>314.71444444444444</v>
      </c>
      <c r="AZ442" s="697">
        <f t="shared" si="186"/>
        <v>326.67555555555555</v>
      </c>
      <c r="BA442" s="680"/>
    </row>
    <row r="443" spans="1:53">
      <c r="A443" s="532" t="s">
        <v>659</v>
      </c>
      <c r="B443" s="589" t="s">
        <v>683</v>
      </c>
      <c r="C443" s="283">
        <v>375744</v>
      </c>
      <c r="D443" s="155">
        <v>13</v>
      </c>
      <c r="E443" s="148" t="s">
        <v>393</v>
      </c>
      <c r="F443" s="483"/>
      <c r="G443" s="679"/>
      <c r="H443" s="678"/>
      <c r="I443" s="679"/>
      <c r="J443" s="678"/>
      <c r="K443" s="679"/>
      <c r="L443" s="678"/>
      <c r="M443" s="679"/>
      <c r="N443" s="678"/>
      <c r="O443" s="694">
        <f t="shared" si="177"/>
        <v>0</v>
      </c>
      <c r="P443" s="695">
        <f t="shared" si="175"/>
        <v>0</v>
      </c>
      <c r="Q443" s="696">
        <f t="shared" si="178"/>
        <v>0</v>
      </c>
      <c r="R443" s="697">
        <f t="shared" si="169"/>
        <v>0</v>
      </c>
      <c r="S443" s="679"/>
      <c r="T443" s="678"/>
      <c r="U443" s="694">
        <f t="shared" si="179"/>
        <v>0</v>
      </c>
      <c r="V443" s="698">
        <f t="shared" si="180"/>
        <v>0</v>
      </c>
      <c r="W443" s="679"/>
      <c r="X443" s="678"/>
      <c r="Y443" s="679"/>
      <c r="Z443" s="678"/>
      <c r="AA443" s="679"/>
      <c r="AB443" s="678"/>
      <c r="AC443" s="679">
        <v>299304</v>
      </c>
      <c r="AD443" s="678">
        <v>298643</v>
      </c>
      <c r="AE443" s="694">
        <f t="shared" si="181"/>
        <v>299304</v>
      </c>
      <c r="AF443" s="695">
        <f t="shared" si="170"/>
        <v>332.56</v>
      </c>
      <c r="AG443" s="696">
        <f t="shared" si="182"/>
        <v>298643</v>
      </c>
      <c r="AH443" s="697">
        <f t="shared" si="171"/>
        <v>331.82555555555558</v>
      </c>
      <c r="AI443" s="679"/>
      <c r="AJ443" s="678"/>
      <c r="AK443" s="694">
        <f t="shared" si="183"/>
        <v>0</v>
      </c>
      <c r="AL443" s="698">
        <f t="shared" si="184"/>
        <v>0</v>
      </c>
      <c r="AM443" s="679"/>
      <c r="AN443" s="678"/>
      <c r="AO443" s="679"/>
      <c r="AP443" s="678"/>
      <c r="AQ443" s="679"/>
      <c r="AR443" s="678"/>
      <c r="AS443" s="679"/>
      <c r="AT443" s="678"/>
      <c r="AU443" s="699">
        <f t="shared" si="172"/>
        <v>0</v>
      </c>
      <c r="AV443" s="695">
        <f t="shared" si="176"/>
        <v>0</v>
      </c>
      <c r="AW443" s="696">
        <f t="shared" si="173"/>
        <v>0</v>
      </c>
      <c r="AX443" s="697">
        <f t="shared" si="174"/>
        <v>0</v>
      </c>
      <c r="AY443" s="700">
        <f t="shared" si="185"/>
        <v>332.56</v>
      </c>
      <c r="AZ443" s="697">
        <f t="shared" si="186"/>
        <v>331.82555555555558</v>
      </c>
      <c r="BA443" s="680"/>
    </row>
    <row r="444" spans="1:53">
      <c r="A444" s="532" t="s">
        <v>659</v>
      </c>
      <c r="B444" s="589" t="s">
        <v>684</v>
      </c>
      <c r="C444" s="283">
        <v>375753</v>
      </c>
      <c r="D444" s="155">
        <v>13</v>
      </c>
      <c r="E444" s="148" t="s">
        <v>393</v>
      </c>
      <c r="F444" s="483"/>
      <c r="G444" s="679"/>
      <c r="H444" s="678"/>
      <c r="I444" s="679"/>
      <c r="J444" s="678"/>
      <c r="K444" s="679"/>
      <c r="L444" s="678"/>
      <c r="M444" s="679"/>
      <c r="N444" s="678"/>
      <c r="O444" s="694">
        <f t="shared" si="177"/>
        <v>0</v>
      </c>
      <c r="P444" s="695">
        <f t="shared" si="175"/>
        <v>0</v>
      </c>
      <c r="Q444" s="696">
        <f t="shared" si="178"/>
        <v>0</v>
      </c>
      <c r="R444" s="697">
        <f t="shared" si="169"/>
        <v>0</v>
      </c>
      <c r="S444" s="679"/>
      <c r="T444" s="678"/>
      <c r="U444" s="694">
        <f t="shared" si="179"/>
        <v>0</v>
      </c>
      <c r="V444" s="698">
        <f t="shared" si="180"/>
        <v>0</v>
      </c>
      <c r="W444" s="679"/>
      <c r="X444" s="678"/>
      <c r="Y444" s="679"/>
      <c r="Z444" s="678"/>
      <c r="AA444" s="679"/>
      <c r="AB444" s="678"/>
      <c r="AC444" s="679">
        <v>32781</v>
      </c>
      <c r="AD444" s="678">
        <v>30123</v>
      </c>
      <c r="AE444" s="694">
        <f t="shared" si="181"/>
        <v>32781</v>
      </c>
      <c r="AF444" s="695">
        <f t="shared" si="170"/>
        <v>36.423333333333332</v>
      </c>
      <c r="AG444" s="696">
        <f t="shared" si="182"/>
        <v>30123</v>
      </c>
      <c r="AH444" s="697">
        <f t="shared" si="171"/>
        <v>33.47</v>
      </c>
      <c r="AI444" s="679"/>
      <c r="AJ444" s="678"/>
      <c r="AK444" s="694">
        <f t="shared" si="183"/>
        <v>0</v>
      </c>
      <c r="AL444" s="698">
        <f t="shared" si="184"/>
        <v>0</v>
      </c>
      <c r="AM444" s="679"/>
      <c r="AN444" s="678"/>
      <c r="AO444" s="679"/>
      <c r="AP444" s="678"/>
      <c r="AQ444" s="679"/>
      <c r="AR444" s="678"/>
      <c r="AS444" s="679"/>
      <c r="AT444" s="678"/>
      <c r="AU444" s="699">
        <f t="shared" si="172"/>
        <v>0</v>
      </c>
      <c r="AV444" s="695">
        <f t="shared" si="176"/>
        <v>0</v>
      </c>
      <c r="AW444" s="696">
        <f t="shared" si="173"/>
        <v>0</v>
      </c>
      <c r="AX444" s="697">
        <f t="shared" si="174"/>
        <v>0</v>
      </c>
      <c r="AY444" s="700">
        <f t="shared" si="185"/>
        <v>36.423333333333332</v>
      </c>
      <c r="AZ444" s="697">
        <f t="shared" si="186"/>
        <v>33.47</v>
      </c>
      <c r="BA444" s="680"/>
    </row>
    <row r="445" spans="1:53">
      <c r="A445" s="532" t="s">
        <v>659</v>
      </c>
      <c r="B445" s="589" t="s">
        <v>685</v>
      </c>
      <c r="C445" s="283">
        <v>405748</v>
      </c>
      <c r="D445" s="155">
        <v>13</v>
      </c>
      <c r="E445" s="148" t="s">
        <v>393</v>
      </c>
      <c r="F445" s="483"/>
      <c r="G445" s="679"/>
      <c r="H445" s="678"/>
      <c r="I445" s="679"/>
      <c r="J445" s="678"/>
      <c r="K445" s="679"/>
      <c r="L445" s="678"/>
      <c r="M445" s="679"/>
      <c r="N445" s="678"/>
      <c r="O445" s="694">
        <f t="shared" si="177"/>
        <v>0</v>
      </c>
      <c r="P445" s="695">
        <f t="shared" si="175"/>
        <v>0</v>
      </c>
      <c r="Q445" s="696">
        <f t="shared" si="178"/>
        <v>0</v>
      </c>
      <c r="R445" s="697">
        <f t="shared" si="169"/>
        <v>0</v>
      </c>
      <c r="S445" s="679"/>
      <c r="T445" s="678"/>
      <c r="U445" s="694">
        <f t="shared" si="179"/>
        <v>0</v>
      </c>
      <c r="V445" s="698">
        <f t="shared" si="180"/>
        <v>0</v>
      </c>
      <c r="W445" s="679"/>
      <c r="X445" s="678"/>
      <c r="Y445" s="679"/>
      <c r="Z445" s="678"/>
      <c r="AA445" s="679"/>
      <c r="AB445" s="678"/>
      <c r="AC445" s="679">
        <v>82830.25</v>
      </c>
      <c r="AD445" s="678">
        <v>78162</v>
      </c>
      <c r="AE445" s="694">
        <f t="shared" si="181"/>
        <v>82830.25</v>
      </c>
      <c r="AF445" s="695">
        <f t="shared" si="170"/>
        <v>92.033611111111114</v>
      </c>
      <c r="AG445" s="696">
        <f t="shared" si="182"/>
        <v>78162</v>
      </c>
      <c r="AH445" s="697">
        <f t="shared" si="171"/>
        <v>86.846666666666664</v>
      </c>
      <c r="AI445" s="679"/>
      <c r="AJ445" s="678"/>
      <c r="AK445" s="694">
        <f t="shared" si="183"/>
        <v>0</v>
      </c>
      <c r="AL445" s="698">
        <f t="shared" si="184"/>
        <v>0</v>
      </c>
      <c r="AM445" s="679"/>
      <c r="AN445" s="678"/>
      <c r="AO445" s="679"/>
      <c r="AP445" s="678"/>
      <c r="AQ445" s="679"/>
      <c r="AR445" s="678"/>
      <c r="AS445" s="679"/>
      <c r="AT445" s="678"/>
      <c r="AU445" s="699">
        <f t="shared" si="172"/>
        <v>0</v>
      </c>
      <c r="AV445" s="695">
        <f t="shared" si="176"/>
        <v>0</v>
      </c>
      <c r="AW445" s="696">
        <f t="shared" si="173"/>
        <v>0</v>
      </c>
      <c r="AX445" s="697">
        <f t="shared" si="174"/>
        <v>0</v>
      </c>
      <c r="AY445" s="700">
        <f t="shared" si="185"/>
        <v>92.033611111111114</v>
      </c>
      <c r="AZ445" s="697">
        <f t="shared" si="186"/>
        <v>86.846666666666664</v>
      </c>
      <c r="BA445" s="680"/>
    </row>
    <row r="446" spans="1:53">
      <c r="A446" s="532" t="s">
        <v>659</v>
      </c>
      <c r="B446" s="589" t="s">
        <v>686</v>
      </c>
      <c r="C446" s="283">
        <v>375762</v>
      </c>
      <c r="D446" s="155">
        <v>13</v>
      </c>
      <c r="E446" s="148" t="s">
        <v>393</v>
      </c>
      <c r="F446" s="483"/>
      <c r="G446" s="679"/>
      <c r="H446" s="678"/>
      <c r="I446" s="679"/>
      <c r="J446" s="678"/>
      <c r="K446" s="679"/>
      <c r="L446" s="678"/>
      <c r="M446" s="679"/>
      <c r="N446" s="678"/>
      <c r="O446" s="694">
        <f t="shared" si="177"/>
        <v>0</v>
      </c>
      <c r="P446" s="695">
        <f t="shared" si="175"/>
        <v>0</v>
      </c>
      <c r="Q446" s="696">
        <f t="shared" si="178"/>
        <v>0</v>
      </c>
      <c r="R446" s="697">
        <f t="shared" si="169"/>
        <v>0</v>
      </c>
      <c r="S446" s="679"/>
      <c r="T446" s="678"/>
      <c r="U446" s="694">
        <f t="shared" si="179"/>
        <v>0</v>
      </c>
      <c r="V446" s="698">
        <f t="shared" si="180"/>
        <v>0</v>
      </c>
      <c r="W446" s="679"/>
      <c r="X446" s="678"/>
      <c r="Y446" s="679"/>
      <c r="Z446" s="678"/>
      <c r="AA446" s="679"/>
      <c r="AB446" s="678"/>
      <c r="AC446" s="679">
        <v>111498</v>
      </c>
      <c r="AD446" s="678">
        <v>70666</v>
      </c>
      <c r="AE446" s="694">
        <f t="shared" si="181"/>
        <v>111498</v>
      </c>
      <c r="AF446" s="695">
        <f t="shared" si="170"/>
        <v>123.88666666666667</v>
      </c>
      <c r="AG446" s="696">
        <f t="shared" si="182"/>
        <v>70666</v>
      </c>
      <c r="AH446" s="697">
        <f t="shared" si="171"/>
        <v>78.517777777777781</v>
      </c>
      <c r="AI446" s="679"/>
      <c r="AJ446" s="678"/>
      <c r="AK446" s="694">
        <f t="shared" si="183"/>
        <v>0</v>
      </c>
      <c r="AL446" s="698">
        <f t="shared" si="184"/>
        <v>0</v>
      </c>
      <c r="AM446" s="679"/>
      <c r="AN446" s="678"/>
      <c r="AO446" s="679"/>
      <c r="AP446" s="678"/>
      <c r="AQ446" s="679"/>
      <c r="AR446" s="678"/>
      <c r="AS446" s="679"/>
      <c r="AT446" s="678"/>
      <c r="AU446" s="699">
        <f t="shared" si="172"/>
        <v>0</v>
      </c>
      <c r="AV446" s="695">
        <f t="shared" si="176"/>
        <v>0</v>
      </c>
      <c r="AW446" s="696">
        <f t="shared" si="173"/>
        <v>0</v>
      </c>
      <c r="AX446" s="697">
        <f t="shared" si="174"/>
        <v>0</v>
      </c>
      <c r="AY446" s="700">
        <f t="shared" si="185"/>
        <v>123.88666666666667</v>
      </c>
      <c r="AZ446" s="697">
        <f t="shared" si="186"/>
        <v>78.517777777777781</v>
      </c>
      <c r="BA446" s="680"/>
    </row>
    <row r="447" spans="1:53">
      <c r="A447" s="532" t="s">
        <v>659</v>
      </c>
      <c r="B447" s="284" t="s">
        <v>687</v>
      </c>
      <c r="C447" s="283">
        <v>365480</v>
      </c>
      <c r="D447" s="155">
        <v>13</v>
      </c>
      <c r="E447" s="148" t="s">
        <v>393</v>
      </c>
      <c r="F447" s="483"/>
      <c r="G447" s="679"/>
      <c r="H447" s="678"/>
      <c r="I447" s="679"/>
      <c r="J447" s="678"/>
      <c r="K447" s="679"/>
      <c r="L447" s="678"/>
      <c r="M447" s="679"/>
      <c r="N447" s="678"/>
      <c r="O447" s="694">
        <f t="shared" si="177"/>
        <v>0</v>
      </c>
      <c r="P447" s="695">
        <f t="shared" si="175"/>
        <v>0</v>
      </c>
      <c r="Q447" s="696">
        <f t="shared" si="178"/>
        <v>0</v>
      </c>
      <c r="R447" s="697">
        <f t="shared" si="169"/>
        <v>0</v>
      </c>
      <c r="S447" s="679"/>
      <c r="T447" s="678"/>
      <c r="U447" s="694">
        <f t="shared" si="179"/>
        <v>0</v>
      </c>
      <c r="V447" s="698">
        <f t="shared" si="180"/>
        <v>0</v>
      </c>
      <c r="W447" s="679"/>
      <c r="X447" s="678"/>
      <c r="Y447" s="679"/>
      <c r="Z447" s="678"/>
      <c r="AA447" s="679"/>
      <c r="AB447" s="678"/>
      <c r="AC447" s="679">
        <v>471353.1</v>
      </c>
      <c r="AD447" s="678">
        <v>453593</v>
      </c>
      <c r="AE447" s="694">
        <f t="shared" si="181"/>
        <v>471353.1</v>
      </c>
      <c r="AF447" s="695">
        <f t="shared" si="170"/>
        <v>523.7256666666666</v>
      </c>
      <c r="AG447" s="696">
        <f t="shared" si="182"/>
        <v>453593</v>
      </c>
      <c r="AH447" s="697">
        <f t="shared" si="171"/>
        <v>503.99222222222221</v>
      </c>
      <c r="AI447" s="679"/>
      <c r="AJ447" s="678"/>
      <c r="AK447" s="694">
        <f t="shared" si="183"/>
        <v>0</v>
      </c>
      <c r="AL447" s="698">
        <f t="shared" si="184"/>
        <v>0</v>
      </c>
      <c r="AM447" s="679"/>
      <c r="AN447" s="678"/>
      <c r="AO447" s="679"/>
      <c r="AP447" s="678"/>
      <c r="AQ447" s="679"/>
      <c r="AR447" s="678"/>
      <c r="AS447" s="679"/>
      <c r="AT447" s="678"/>
      <c r="AU447" s="699">
        <f t="shared" si="172"/>
        <v>0</v>
      </c>
      <c r="AV447" s="695">
        <f t="shared" si="176"/>
        <v>0</v>
      </c>
      <c r="AW447" s="696">
        <f t="shared" si="173"/>
        <v>0</v>
      </c>
      <c r="AX447" s="697">
        <f t="shared" si="174"/>
        <v>0</v>
      </c>
      <c r="AY447" s="700">
        <f t="shared" si="185"/>
        <v>523.7256666666666</v>
      </c>
      <c r="AZ447" s="697">
        <f t="shared" si="186"/>
        <v>503.99222222222221</v>
      </c>
      <c r="BA447" s="680"/>
    </row>
    <row r="448" spans="1:53">
      <c r="A448" s="532" t="s">
        <v>659</v>
      </c>
      <c r="B448" s="284" t="s">
        <v>688</v>
      </c>
      <c r="C448" s="283">
        <v>418320</v>
      </c>
      <c r="D448" s="155">
        <v>13</v>
      </c>
      <c r="E448" s="148" t="s">
        <v>393</v>
      </c>
      <c r="F448" s="483"/>
      <c r="G448" s="679"/>
      <c r="H448" s="678"/>
      <c r="I448" s="679"/>
      <c r="J448" s="678"/>
      <c r="K448" s="679"/>
      <c r="L448" s="678"/>
      <c r="M448" s="679"/>
      <c r="N448" s="678"/>
      <c r="O448" s="694">
        <f t="shared" si="177"/>
        <v>0</v>
      </c>
      <c r="P448" s="695">
        <f t="shared" si="175"/>
        <v>0</v>
      </c>
      <c r="Q448" s="696">
        <f t="shared" si="178"/>
        <v>0</v>
      </c>
      <c r="R448" s="697">
        <f t="shared" si="169"/>
        <v>0</v>
      </c>
      <c r="S448" s="679"/>
      <c r="T448" s="678"/>
      <c r="U448" s="694">
        <f t="shared" si="179"/>
        <v>0</v>
      </c>
      <c r="V448" s="698">
        <f t="shared" si="180"/>
        <v>0</v>
      </c>
      <c r="W448" s="679"/>
      <c r="X448" s="678"/>
      <c r="Y448" s="679"/>
      <c r="Z448" s="678"/>
      <c r="AA448" s="679"/>
      <c r="AB448" s="678"/>
      <c r="AC448" s="679">
        <v>448166.75</v>
      </c>
      <c r="AD448" s="678">
        <v>476364</v>
      </c>
      <c r="AE448" s="694">
        <f t="shared" si="181"/>
        <v>448166.75</v>
      </c>
      <c r="AF448" s="695">
        <f t="shared" si="170"/>
        <v>497.96305555555557</v>
      </c>
      <c r="AG448" s="696">
        <f t="shared" si="182"/>
        <v>476364</v>
      </c>
      <c r="AH448" s="697">
        <f t="shared" si="171"/>
        <v>529.29333333333329</v>
      </c>
      <c r="AI448" s="679"/>
      <c r="AJ448" s="678"/>
      <c r="AK448" s="694">
        <f t="shared" si="183"/>
        <v>0</v>
      </c>
      <c r="AL448" s="698">
        <f t="shared" si="184"/>
        <v>0</v>
      </c>
      <c r="AM448" s="679"/>
      <c r="AN448" s="678"/>
      <c r="AO448" s="679"/>
      <c r="AP448" s="678"/>
      <c r="AQ448" s="679"/>
      <c r="AR448" s="678"/>
      <c r="AS448" s="679"/>
      <c r="AT448" s="678"/>
      <c r="AU448" s="699">
        <f t="shared" si="172"/>
        <v>0</v>
      </c>
      <c r="AV448" s="695">
        <f t="shared" si="176"/>
        <v>0</v>
      </c>
      <c r="AW448" s="696">
        <f t="shared" si="173"/>
        <v>0</v>
      </c>
      <c r="AX448" s="697">
        <f t="shared" si="174"/>
        <v>0</v>
      </c>
      <c r="AY448" s="700">
        <f t="shared" si="185"/>
        <v>497.96305555555557</v>
      </c>
      <c r="AZ448" s="697">
        <f t="shared" si="186"/>
        <v>529.29333333333329</v>
      </c>
      <c r="BA448" s="680"/>
    </row>
    <row r="449" spans="1:53">
      <c r="A449" s="532" t="s">
        <v>659</v>
      </c>
      <c r="B449" s="284" t="s">
        <v>689</v>
      </c>
      <c r="C449" s="283">
        <v>431017</v>
      </c>
      <c r="D449" s="155">
        <v>13</v>
      </c>
      <c r="E449" s="148" t="s">
        <v>393</v>
      </c>
      <c r="F449" s="483"/>
      <c r="G449" s="679"/>
      <c r="H449" s="678"/>
      <c r="I449" s="679"/>
      <c r="J449" s="678"/>
      <c r="K449" s="679"/>
      <c r="L449" s="678"/>
      <c r="M449" s="679"/>
      <c r="N449" s="678"/>
      <c r="O449" s="694">
        <f t="shared" si="177"/>
        <v>0</v>
      </c>
      <c r="P449" s="695">
        <f t="shared" si="175"/>
        <v>0</v>
      </c>
      <c r="Q449" s="696">
        <f t="shared" si="178"/>
        <v>0</v>
      </c>
      <c r="R449" s="697">
        <f t="shared" ref="R449:R550" si="187">+Q449/30</f>
        <v>0</v>
      </c>
      <c r="S449" s="679"/>
      <c r="T449" s="678"/>
      <c r="U449" s="694">
        <f t="shared" si="179"/>
        <v>0</v>
      </c>
      <c r="V449" s="698">
        <f t="shared" si="180"/>
        <v>0</v>
      </c>
      <c r="W449" s="679"/>
      <c r="X449" s="678"/>
      <c r="Y449" s="679"/>
      <c r="Z449" s="678"/>
      <c r="AA449" s="679"/>
      <c r="AB449" s="678"/>
      <c r="AC449" s="679">
        <v>466376.75</v>
      </c>
      <c r="AD449" s="678">
        <v>454187</v>
      </c>
      <c r="AE449" s="694">
        <f t="shared" si="181"/>
        <v>466376.75</v>
      </c>
      <c r="AF449" s="695">
        <f t="shared" ref="AF449:AF550" si="188">+AE449/900</f>
        <v>518.19638888888892</v>
      </c>
      <c r="AG449" s="696">
        <f t="shared" si="182"/>
        <v>454187</v>
      </c>
      <c r="AH449" s="697">
        <f t="shared" ref="AH449:AH550" si="189">+AG449/900</f>
        <v>504.65222222222224</v>
      </c>
      <c r="AI449" s="679"/>
      <c r="AJ449" s="678"/>
      <c r="AK449" s="694">
        <f t="shared" si="183"/>
        <v>0</v>
      </c>
      <c r="AL449" s="698">
        <f t="shared" si="184"/>
        <v>0</v>
      </c>
      <c r="AM449" s="679"/>
      <c r="AN449" s="678"/>
      <c r="AO449" s="679"/>
      <c r="AP449" s="678"/>
      <c r="AQ449" s="679"/>
      <c r="AR449" s="678"/>
      <c r="AS449" s="679"/>
      <c r="AT449" s="678"/>
      <c r="AU449" s="699">
        <f t="shared" ref="AU449:AU550" si="190">SUM(AM449,AO449,AQ449,AS449)</f>
        <v>0</v>
      </c>
      <c r="AV449" s="695">
        <f t="shared" si="176"/>
        <v>0</v>
      </c>
      <c r="AW449" s="696">
        <f t="shared" ref="AW449:AW550" si="191">SUM(AN449,AP449,AR449,AT449)</f>
        <v>0</v>
      </c>
      <c r="AX449" s="697">
        <f t="shared" ref="AX449:AX550" si="192">+AW449/24</f>
        <v>0</v>
      </c>
      <c r="AY449" s="700">
        <f t="shared" si="185"/>
        <v>518.19638888888892</v>
      </c>
      <c r="AZ449" s="697">
        <f t="shared" si="186"/>
        <v>504.65222222222224</v>
      </c>
      <c r="BA449" s="680"/>
    </row>
    <row r="450" spans="1:53">
      <c r="A450" s="532" t="s">
        <v>659</v>
      </c>
      <c r="B450" s="533" t="s">
        <v>663</v>
      </c>
      <c r="C450" s="534">
        <v>248606</v>
      </c>
      <c r="D450" s="535">
        <v>13</v>
      </c>
      <c r="E450" s="148" t="s">
        <v>393</v>
      </c>
      <c r="F450" s="483"/>
      <c r="G450" s="679"/>
      <c r="H450" s="678"/>
      <c r="I450" s="679"/>
      <c r="J450" s="678"/>
      <c r="K450" s="679"/>
      <c r="L450" s="678"/>
      <c r="M450" s="679"/>
      <c r="N450" s="678"/>
      <c r="O450" s="694">
        <f t="shared" si="177"/>
        <v>0</v>
      </c>
      <c r="P450" s="695">
        <f t="shared" si="175"/>
        <v>0</v>
      </c>
      <c r="Q450" s="696">
        <f t="shared" si="178"/>
        <v>0</v>
      </c>
      <c r="R450" s="697">
        <f t="shared" si="187"/>
        <v>0</v>
      </c>
      <c r="S450" s="679"/>
      <c r="T450" s="678"/>
      <c r="U450" s="694">
        <f t="shared" si="179"/>
        <v>0</v>
      </c>
      <c r="V450" s="698">
        <f t="shared" si="180"/>
        <v>0</v>
      </c>
      <c r="W450" s="679"/>
      <c r="X450" s="678"/>
      <c r="Y450" s="679"/>
      <c r="Z450" s="678"/>
      <c r="AA450" s="679"/>
      <c r="AB450" s="678"/>
      <c r="AC450" s="679">
        <v>882600.57</v>
      </c>
      <c r="AD450" s="678">
        <v>897460</v>
      </c>
      <c r="AE450" s="694">
        <f t="shared" si="181"/>
        <v>882600.57</v>
      </c>
      <c r="AF450" s="695">
        <f t="shared" si="188"/>
        <v>980.66729999999995</v>
      </c>
      <c r="AG450" s="696">
        <f t="shared" si="182"/>
        <v>897460</v>
      </c>
      <c r="AH450" s="697">
        <f t="shared" si="189"/>
        <v>997.17777777777781</v>
      </c>
      <c r="AI450" s="679"/>
      <c r="AJ450" s="678"/>
      <c r="AK450" s="694">
        <f t="shared" si="183"/>
        <v>0</v>
      </c>
      <c r="AL450" s="698">
        <f t="shared" si="184"/>
        <v>0</v>
      </c>
      <c r="AM450" s="679"/>
      <c r="AN450" s="678"/>
      <c r="AO450" s="679"/>
      <c r="AP450" s="678"/>
      <c r="AQ450" s="679"/>
      <c r="AR450" s="678"/>
      <c r="AS450" s="679"/>
      <c r="AT450" s="678"/>
      <c r="AU450" s="699">
        <f t="shared" si="190"/>
        <v>0</v>
      </c>
      <c r="AV450" s="695">
        <f t="shared" si="176"/>
        <v>0</v>
      </c>
      <c r="AW450" s="696">
        <f t="shared" si="191"/>
        <v>0</v>
      </c>
      <c r="AX450" s="697">
        <f t="shared" si="192"/>
        <v>0</v>
      </c>
      <c r="AY450" s="700">
        <f t="shared" si="185"/>
        <v>980.66729999999995</v>
      </c>
      <c r="AZ450" s="697">
        <f t="shared" si="186"/>
        <v>997.17777777777781</v>
      </c>
      <c r="BA450" s="680"/>
    </row>
    <row r="451" spans="1:53">
      <c r="A451" s="532" t="s">
        <v>659</v>
      </c>
      <c r="B451" s="590" t="s">
        <v>690</v>
      </c>
      <c r="C451" s="283">
        <v>420459</v>
      </c>
      <c r="D451" s="155">
        <v>13</v>
      </c>
      <c r="E451" s="148" t="s">
        <v>393</v>
      </c>
      <c r="F451" s="483"/>
      <c r="G451" s="679"/>
      <c r="H451" s="678"/>
      <c r="I451" s="679"/>
      <c r="J451" s="678"/>
      <c r="K451" s="679"/>
      <c r="L451" s="678"/>
      <c r="M451" s="679"/>
      <c r="N451" s="678"/>
      <c r="O451" s="694">
        <f t="shared" si="177"/>
        <v>0</v>
      </c>
      <c r="P451" s="695">
        <f t="shared" si="175"/>
        <v>0</v>
      </c>
      <c r="Q451" s="696">
        <f t="shared" si="178"/>
        <v>0</v>
      </c>
      <c r="R451" s="697">
        <f t="shared" si="187"/>
        <v>0</v>
      </c>
      <c r="S451" s="679"/>
      <c r="T451" s="678"/>
      <c r="U451" s="694">
        <f t="shared" si="179"/>
        <v>0</v>
      </c>
      <c r="V451" s="698">
        <f t="shared" si="180"/>
        <v>0</v>
      </c>
      <c r="W451" s="679"/>
      <c r="X451" s="678"/>
      <c r="Y451" s="679"/>
      <c r="Z451" s="678"/>
      <c r="AA451" s="679"/>
      <c r="AB451" s="678"/>
      <c r="AC451" s="679">
        <v>352445.25</v>
      </c>
      <c r="AD451" s="678">
        <v>329985</v>
      </c>
      <c r="AE451" s="694">
        <f t="shared" si="181"/>
        <v>352445.25</v>
      </c>
      <c r="AF451" s="695">
        <f t="shared" si="188"/>
        <v>391.60583333333335</v>
      </c>
      <c r="AG451" s="696">
        <f t="shared" si="182"/>
        <v>329985</v>
      </c>
      <c r="AH451" s="697">
        <f t="shared" si="189"/>
        <v>366.65</v>
      </c>
      <c r="AI451" s="679"/>
      <c r="AJ451" s="678"/>
      <c r="AK451" s="694">
        <f t="shared" si="183"/>
        <v>0</v>
      </c>
      <c r="AL451" s="698">
        <f t="shared" si="184"/>
        <v>0</v>
      </c>
      <c r="AM451" s="679"/>
      <c r="AN451" s="678"/>
      <c r="AO451" s="679"/>
      <c r="AP451" s="678"/>
      <c r="AQ451" s="679"/>
      <c r="AR451" s="678"/>
      <c r="AS451" s="679"/>
      <c r="AT451" s="678"/>
      <c r="AU451" s="699">
        <f t="shared" si="190"/>
        <v>0</v>
      </c>
      <c r="AV451" s="695">
        <f t="shared" si="176"/>
        <v>0</v>
      </c>
      <c r="AW451" s="696">
        <f t="shared" si="191"/>
        <v>0</v>
      </c>
      <c r="AX451" s="697">
        <f t="shared" si="192"/>
        <v>0</v>
      </c>
      <c r="AY451" s="700">
        <f t="shared" si="185"/>
        <v>391.60583333333335</v>
      </c>
      <c r="AZ451" s="697">
        <f t="shared" si="186"/>
        <v>366.65</v>
      </c>
      <c r="BA451" s="680"/>
    </row>
    <row r="452" spans="1:53">
      <c r="A452" s="532" t="s">
        <v>659</v>
      </c>
      <c r="B452" s="591" t="s">
        <v>691</v>
      </c>
      <c r="C452" s="537">
        <v>432074</v>
      </c>
      <c r="D452" s="155">
        <v>13</v>
      </c>
      <c r="E452" s="148" t="s">
        <v>393</v>
      </c>
      <c r="F452" s="483"/>
      <c r="G452" s="679"/>
      <c r="H452" s="678"/>
      <c r="I452" s="679"/>
      <c r="J452" s="678"/>
      <c r="K452" s="679"/>
      <c r="L452" s="678"/>
      <c r="M452" s="679"/>
      <c r="N452" s="678"/>
      <c r="O452" s="694">
        <f t="shared" si="177"/>
        <v>0</v>
      </c>
      <c r="P452" s="695">
        <f t="shared" si="175"/>
        <v>0</v>
      </c>
      <c r="Q452" s="696">
        <f t="shared" si="178"/>
        <v>0</v>
      </c>
      <c r="R452" s="697">
        <f t="shared" si="187"/>
        <v>0</v>
      </c>
      <c r="S452" s="679"/>
      <c r="T452" s="678"/>
      <c r="U452" s="694">
        <f t="shared" si="179"/>
        <v>0</v>
      </c>
      <c r="V452" s="698">
        <f t="shared" si="180"/>
        <v>0</v>
      </c>
      <c r="W452" s="679"/>
      <c r="X452" s="678"/>
      <c r="Y452" s="679"/>
      <c r="Z452" s="678"/>
      <c r="AA452" s="679"/>
      <c r="AB452" s="678"/>
      <c r="AC452" s="679">
        <v>136361.45000000001</v>
      </c>
      <c r="AD452" s="678">
        <v>156208</v>
      </c>
      <c r="AE452" s="694">
        <f t="shared" si="181"/>
        <v>136361.45000000001</v>
      </c>
      <c r="AF452" s="695">
        <f t="shared" si="188"/>
        <v>151.51272222222224</v>
      </c>
      <c r="AG452" s="696">
        <f t="shared" si="182"/>
        <v>156208</v>
      </c>
      <c r="AH452" s="697">
        <f t="shared" si="189"/>
        <v>173.56444444444443</v>
      </c>
      <c r="AI452" s="679"/>
      <c r="AJ452" s="678"/>
      <c r="AK452" s="694">
        <f t="shared" si="183"/>
        <v>0</v>
      </c>
      <c r="AL452" s="698">
        <f t="shared" si="184"/>
        <v>0</v>
      </c>
      <c r="AM452" s="679"/>
      <c r="AN452" s="678"/>
      <c r="AO452" s="679"/>
      <c r="AP452" s="678"/>
      <c r="AQ452" s="679"/>
      <c r="AR452" s="678"/>
      <c r="AS452" s="679"/>
      <c r="AT452" s="678"/>
      <c r="AU452" s="699">
        <f t="shared" si="190"/>
        <v>0</v>
      </c>
      <c r="AV452" s="695">
        <f t="shared" si="176"/>
        <v>0</v>
      </c>
      <c r="AW452" s="696">
        <f t="shared" si="191"/>
        <v>0</v>
      </c>
      <c r="AX452" s="697">
        <f t="shared" si="192"/>
        <v>0</v>
      </c>
      <c r="AY452" s="700">
        <f t="shared" si="185"/>
        <v>151.51272222222224</v>
      </c>
      <c r="AZ452" s="697">
        <f t="shared" si="186"/>
        <v>173.56444444444443</v>
      </c>
      <c r="BA452" s="680"/>
    </row>
    <row r="453" spans="1:53">
      <c r="A453" s="532" t="s">
        <v>659</v>
      </c>
      <c r="B453" s="591" t="s">
        <v>692</v>
      </c>
      <c r="C453" s="537">
        <v>418339</v>
      </c>
      <c r="D453" s="155">
        <v>13</v>
      </c>
      <c r="E453" s="148" t="s">
        <v>393</v>
      </c>
      <c r="F453" s="483"/>
      <c r="G453" s="679"/>
      <c r="H453" s="678"/>
      <c r="I453" s="679"/>
      <c r="J453" s="678"/>
      <c r="K453" s="679"/>
      <c r="L453" s="678"/>
      <c r="M453" s="679"/>
      <c r="N453" s="678"/>
      <c r="O453" s="694">
        <f t="shared" si="177"/>
        <v>0</v>
      </c>
      <c r="P453" s="695">
        <f t="shared" si="175"/>
        <v>0</v>
      </c>
      <c r="Q453" s="696">
        <f t="shared" si="178"/>
        <v>0</v>
      </c>
      <c r="R453" s="697">
        <f t="shared" si="187"/>
        <v>0</v>
      </c>
      <c r="S453" s="679"/>
      <c r="T453" s="678"/>
      <c r="U453" s="694">
        <f t="shared" si="179"/>
        <v>0</v>
      </c>
      <c r="V453" s="698">
        <f t="shared" si="180"/>
        <v>0</v>
      </c>
      <c r="W453" s="679"/>
      <c r="X453" s="678"/>
      <c r="Y453" s="679"/>
      <c r="Z453" s="678"/>
      <c r="AA453" s="679"/>
      <c r="AB453" s="678"/>
      <c r="AC453" s="679">
        <v>401717.25</v>
      </c>
      <c r="AD453" s="678">
        <v>346486</v>
      </c>
      <c r="AE453" s="694">
        <f t="shared" si="181"/>
        <v>401717.25</v>
      </c>
      <c r="AF453" s="695">
        <f t="shared" si="188"/>
        <v>446.35250000000002</v>
      </c>
      <c r="AG453" s="696">
        <f t="shared" si="182"/>
        <v>346486</v>
      </c>
      <c r="AH453" s="697">
        <f t="shared" si="189"/>
        <v>384.98444444444442</v>
      </c>
      <c r="AI453" s="679"/>
      <c r="AJ453" s="678"/>
      <c r="AK453" s="694">
        <f t="shared" si="183"/>
        <v>0</v>
      </c>
      <c r="AL453" s="698">
        <f t="shared" si="184"/>
        <v>0</v>
      </c>
      <c r="AM453" s="679"/>
      <c r="AN453" s="678"/>
      <c r="AO453" s="679"/>
      <c r="AP453" s="678"/>
      <c r="AQ453" s="679"/>
      <c r="AR453" s="678"/>
      <c r="AS453" s="679"/>
      <c r="AT453" s="678"/>
      <c r="AU453" s="699">
        <f t="shared" si="190"/>
        <v>0</v>
      </c>
      <c r="AV453" s="695">
        <f t="shared" si="176"/>
        <v>0</v>
      </c>
      <c r="AW453" s="696">
        <f t="shared" si="191"/>
        <v>0</v>
      </c>
      <c r="AX453" s="697">
        <f t="shared" si="192"/>
        <v>0</v>
      </c>
      <c r="AY453" s="700">
        <f t="shared" si="185"/>
        <v>446.35250000000002</v>
      </c>
      <c r="AZ453" s="697">
        <f t="shared" si="186"/>
        <v>384.98444444444442</v>
      </c>
      <c r="BA453" s="680"/>
    </row>
    <row r="454" spans="1:53">
      <c r="A454" s="532" t="s">
        <v>659</v>
      </c>
      <c r="B454" s="592" t="s">
        <v>693</v>
      </c>
      <c r="C454" s="537">
        <v>366623</v>
      </c>
      <c r="D454" s="155">
        <v>13</v>
      </c>
      <c r="E454" s="148" t="s">
        <v>393</v>
      </c>
      <c r="F454" s="483"/>
      <c r="G454" s="679"/>
      <c r="H454" s="678"/>
      <c r="I454" s="679"/>
      <c r="J454" s="678"/>
      <c r="K454" s="679"/>
      <c r="L454" s="678"/>
      <c r="M454" s="679"/>
      <c r="N454" s="678"/>
      <c r="O454" s="694">
        <f t="shared" si="177"/>
        <v>0</v>
      </c>
      <c r="P454" s="695">
        <f t="shared" si="175"/>
        <v>0</v>
      </c>
      <c r="Q454" s="696">
        <f t="shared" si="178"/>
        <v>0</v>
      </c>
      <c r="R454" s="697">
        <f t="shared" si="187"/>
        <v>0</v>
      </c>
      <c r="S454" s="679"/>
      <c r="T454" s="678"/>
      <c r="U454" s="694">
        <f t="shared" si="179"/>
        <v>0</v>
      </c>
      <c r="V454" s="698">
        <f t="shared" si="180"/>
        <v>0</v>
      </c>
      <c r="W454" s="679"/>
      <c r="X454" s="678"/>
      <c r="Y454" s="679"/>
      <c r="Z454" s="678"/>
      <c r="AA454" s="679"/>
      <c r="AB454" s="678"/>
      <c r="AC454" s="679">
        <v>87422.5</v>
      </c>
      <c r="AD454" s="678">
        <v>81614</v>
      </c>
      <c r="AE454" s="694">
        <f t="shared" si="181"/>
        <v>87422.5</v>
      </c>
      <c r="AF454" s="695">
        <f t="shared" si="188"/>
        <v>97.136111111111106</v>
      </c>
      <c r="AG454" s="696">
        <f t="shared" si="182"/>
        <v>81614</v>
      </c>
      <c r="AH454" s="697">
        <f t="shared" si="189"/>
        <v>90.682222222222222</v>
      </c>
      <c r="AI454" s="679"/>
      <c r="AJ454" s="678"/>
      <c r="AK454" s="694">
        <f t="shared" si="183"/>
        <v>0</v>
      </c>
      <c r="AL454" s="698">
        <f t="shared" si="184"/>
        <v>0</v>
      </c>
      <c r="AM454" s="679"/>
      <c r="AN454" s="678"/>
      <c r="AO454" s="679"/>
      <c r="AP454" s="678"/>
      <c r="AQ454" s="679"/>
      <c r="AR454" s="678"/>
      <c r="AS454" s="679"/>
      <c r="AT454" s="678"/>
      <c r="AU454" s="699">
        <f t="shared" si="190"/>
        <v>0</v>
      </c>
      <c r="AV454" s="695">
        <f t="shared" si="176"/>
        <v>0</v>
      </c>
      <c r="AW454" s="696">
        <f t="shared" si="191"/>
        <v>0</v>
      </c>
      <c r="AX454" s="697">
        <f t="shared" si="192"/>
        <v>0</v>
      </c>
      <c r="AY454" s="700">
        <f t="shared" si="185"/>
        <v>97.136111111111106</v>
      </c>
      <c r="AZ454" s="697">
        <f t="shared" si="186"/>
        <v>90.682222222222222</v>
      </c>
      <c r="BA454" s="680"/>
    </row>
    <row r="455" spans="1:53">
      <c r="A455" s="532" t="s">
        <v>659</v>
      </c>
      <c r="B455" s="592" t="s">
        <v>694</v>
      </c>
      <c r="C455" s="537">
        <v>407601</v>
      </c>
      <c r="D455" s="155">
        <v>13</v>
      </c>
      <c r="E455" s="148" t="s">
        <v>393</v>
      </c>
      <c r="F455" s="149"/>
      <c r="G455" s="679"/>
      <c r="H455" s="678"/>
      <c r="I455" s="679"/>
      <c r="J455" s="678"/>
      <c r="K455" s="679"/>
      <c r="L455" s="678"/>
      <c r="M455" s="679"/>
      <c r="N455" s="678"/>
      <c r="O455" s="694">
        <f t="shared" si="177"/>
        <v>0</v>
      </c>
      <c r="P455" s="695">
        <f t="shared" si="175"/>
        <v>0</v>
      </c>
      <c r="Q455" s="696">
        <f t="shared" si="178"/>
        <v>0</v>
      </c>
      <c r="R455" s="697">
        <f t="shared" si="187"/>
        <v>0</v>
      </c>
      <c r="S455" s="679"/>
      <c r="T455" s="678"/>
      <c r="U455" s="694">
        <f t="shared" si="179"/>
        <v>0</v>
      </c>
      <c r="V455" s="698">
        <f t="shared" si="180"/>
        <v>0</v>
      </c>
      <c r="W455" s="679"/>
      <c r="X455" s="678"/>
      <c r="Y455" s="679"/>
      <c r="Z455" s="678"/>
      <c r="AA455" s="679"/>
      <c r="AB455" s="678"/>
      <c r="AC455" s="679">
        <v>79562</v>
      </c>
      <c r="AD455" s="678">
        <v>75418</v>
      </c>
      <c r="AE455" s="694">
        <f t="shared" si="181"/>
        <v>79562</v>
      </c>
      <c r="AF455" s="695">
        <f t="shared" si="188"/>
        <v>88.402222222222221</v>
      </c>
      <c r="AG455" s="696">
        <f t="shared" si="182"/>
        <v>75418</v>
      </c>
      <c r="AH455" s="697">
        <f t="shared" si="189"/>
        <v>83.797777777777782</v>
      </c>
      <c r="AI455" s="679"/>
      <c r="AJ455" s="678"/>
      <c r="AK455" s="694">
        <f t="shared" si="183"/>
        <v>0</v>
      </c>
      <c r="AL455" s="698">
        <f t="shared" si="184"/>
        <v>0</v>
      </c>
      <c r="AM455" s="679"/>
      <c r="AN455" s="678"/>
      <c r="AO455" s="679"/>
      <c r="AP455" s="678"/>
      <c r="AQ455" s="679"/>
      <c r="AR455" s="678"/>
      <c r="AS455" s="679"/>
      <c r="AT455" s="678"/>
      <c r="AU455" s="699">
        <f t="shared" si="190"/>
        <v>0</v>
      </c>
      <c r="AV455" s="695">
        <f t="shared" si="176"/>
        <v>0</v>
      </c>
      <c r="AW455" s="696">
        <f t="shared" si="191"/>
        <v>0</v>
      </c>
      <c r="AX455" s="697">
        <f t="shared" si="192"/>
        <v>0</v>
      </c>
      <c r="AY455" s="700">
        <f t="shared" si="185"/>
        <v>88.402222222222221</v>
      </c>
      <c r="AZ455" s="697">
        <f t="shared" si="186"/>
        <v>83.797777777777782</v>
      </c>
      <c r="BA455" s="680"/>
    </row>
    <row r="456" spans="1:53">
      <c r="A456" s="532" t="s">
        <v>659</v>
      </c>
      <c r="B456" s="536" t="s">
        <v>695</v>
      </c>
      <c r="C456" s="537">
        <v>364627</v>
      </c>
      <c r="D456" s="155">
        <v>13</v>
      </c>
      <c r="E456" s="148" t="s">
        <v>393</v>
      </c>
      <c r="F456" s="149"/>
      <c r="G456" s="679"/>
      <c r="H456" s="678"/>
      <c r="I456" s="679"/>
      <c r="J456" s="678"/>
      <c r="K456" s="679"/>
      <c r="L456" s="678"/>
      <c r="M456" s="679"/>
      <c r="N456" s="678"/>
      <c r="O456" s="694">
        <f t="shared" si="177"/>
        <v>0</v>
      </c>
      <c r="P456" s="695">
        <f t="shared" si="175"/>
        <v>0</v>
      </c>
      <c r="Q456" s="696">
        <f t="shared" si="178"/>
        <v>0</v>
      </c>
      <c r="R456" s="697">
        <f t="shared" si="187"/>
        <v>0</v>
      </c>
      <c r="S456" s="679"/>
      <c r="T456" s="678"/>
      <c r="U456" s="694">
        <f t="shared" si="179"/>
        <v>0</v>
      </c>
      <c r="V456" s="698">
        <f t="shared" si="180"/>
        <v>0</v>
      </c>
      <c r="W456" s="679"/>
      <c r="X456" s="678"/>
      <c r="Y456" s="679"/>
      <c r="Z456" s="678"/>
      <c r="AA456" s="679"/>
      <c r="AB456" s="678"/>
      <c r="AC456" s="679">
        <v>308258.5</v>
      </c>
      <c r="AD456" s="678">
        <v>286670</v>
      </c>
      <c r="AE456" s="694">
        <f t="shared" si="181"/>
        <v>308258.5</v>
      </c>
      <c r="AF456" s="695">
        <f t="shared" si="188"/>
        <v>342.50944444444445</v>
      </c>
      <c r="AG456" s="696">
        <f t="shared" si="182"/>
        <v>286670</v>
      </c>
      <c r="AH456" s="697">
        <f t="shared" si="189"/>
        <v>318.52222222222224</v>
      </c>
      <c r="AI456" s="679"/>
      <c r="AJ456" s="678"/>
      <c r="AK456" s="694">
        <f t="shared" si="183"/>
        <v>0</v>
      </c>
      <c r="AL456" s="698">
        <f t="shared" si="184"/>
        <v>0</v>
      </c>
      <c r="AM456" s="679"/>
      <c r="AN456" s="678"/>
      <c r="AO456" s="679"/>
      <c r="AP456" s="678"/>
      <c r="AQ456" s="679"/>
      <c r="AR456" s="678"/>
      <c r="AS456" s="679"/>
      <c r="AT456" s="678"/>
      <c r="AU456" s="699">
        <f t="shared" si="190"/>
        <v>0</v>
      </c>
      <c r="AV456" s="695">
        <f t="shared" si="176"/>
        <v>0</v>
      </c>
      <c r="AW456" s="696">
        <f t="shared" si="191"/>
        <v>0</v>
      </c>
      <c r="AX456" s="697">
        <f t="shared" si="192"/>
        <v>0</v>
      </c>
      <c r="AY456" s="700">
        <f t="shared" si="185"/>
        <v>342.50944444444445</v>
      </c>
      <c r="AZ456" s="697">
        <f t="shared" si="186"/>
        <v>318.52222222222224</v>
      </c>
      <c r="BA456" s="680"/>
    </row>
    <row r="457" spans="1:53">
      <c r="A457" s="532" t="s">
        <v>659</v>
      </c>
      <c r="B457" s="536" t="s">
        <v>696</v>
      </c>
      <c r="C457" s="537">
        <v>206905</v>
      </c>
      <c r="D457" s="155">
        <v>13</v>
      </c>
      <c r="E457" s="148" t="s">
        <v>393</v>
      </c>
      <c r="F457" s="149"/>
      <c r="G457" s="679"/>
      <c r="H457" s="678"/>
      <c r="I457" s="679"/>
      <c r="J457" s="678"/>
      <c r="K457" s="679"/>
      <c r="L457" s="678"/>
      <c r="M457" s="679"/>
      <c r="N457" s="678"/>
      <c r="O457" s="694">
        <f t="shared" si="177"/>
        <v>0</v>
      </c>
      <c r="P457" s="695">
        <f t="shared" si="175"/>
        <v>0</v>
      </c>
      <c r="Q457" s="696">
        <f t="shared" si="178"/>
        <v>0</v>
      </c>
      <c r="R457" s="697">
        <f t="shared" si="187"/>
        <v>0</v>
      </c>
      <c r="S457" s="679"/>
      <c r="T457" s="678"/>
      <c r="U457" s="694">
        <f t="shared" si="179"/>
        <v>0</v>
      </c>
      <c r="V457" s="698">
        <f t="shared" si="180"/>
        <v>0</v>
      </c>
      <c r="W457" s="679"/>
      <c r="X457" s="678"/>
      <c r="Y457" s="679"/>
      <c r="Z457" s="678"/>
      <c r="AA457" s="679"/>
      <c r="AB457" s="678"/>
      <c r="AC457" s="679">
        <v>227996.65</v>
      </c>
      <c r="AD457" s="678">
        <v>230493</v>
      </c>
      <c r="AE457" s="694">
        <f t="shared" si="181"/>
        <v>227996.65</v>
      </c>
      <c r="AF457" s="695">
        <f t="shared" si="188"/>
        <v>253.32961111111109</v>
      </c>
      <c r="AG457" s="696">
        <f t="shared" si="182"/>
        <v>230493</v>
      </c>
      <c r="AH457" s="697">
        <f t="shared" si="189"/>
        <v>256.10333333333335</v>
      </c>
      <c r="AI457" s="679"/>
      <c r="AJ457" s="678"/>
      <c r="AK457" s="694">
        <f t="shared" si="183"/>
        <v>0</v>
      </c>
      <c r="AL457" s="698">
        <f t="shared" si="184"/>
        <v>0</v>
      </c>
      <c r="AM457" s="679"/>
      <c r="AN457" s="678"/>
      <c r="AO457" s="679"/>
      <c r="AP457" s="678"/>
      <c r="AQ457" s="679"/>
      <c r="AR457" s="678"/>
      <c r="AS457" s="679"/>
      <c r="AT457" s="678"/>
      <c r="AU457" s="699">
        <f t="shared" si="190"/>
        <v>0</v>
      </c>
      <c r="AV457" s="695">
        <f t="shared" si="176"/>
        <v>0</v>
      </c>
      <c r="AW457" s="696">
        <f t="shared" si="191"/>
        <v>0</v>
      </c>
      <c r="AX457" s="697">
        <f t="shared" si="192"/>
        <v>0</v>
      </c>
      <c r="AY457" s="700">
        <f t="shared" si="185"/>
        <v>253.32961111111109</v>
      </c>
      <c r="AZ457" s="697">
        <f t="shared" si="186"/>
        <v>256.10333333333335</v>
      </c>
      <c r="BA457" s="680"/>
    </row>
    <row r="458" spans="1:53">
      <c r="A458" s="532" t="s">
        <v>659</v>
      </c>
      <c r="B458" s="536" t="s">
        <v>697</v>
      </c>
      <c r="C458" s="537">
        <v>250993</v>
      </c>
      <c r="D458" s="155">
        <v>13</v>
      </c>
      <c r="E458" s="148" t="s">
        <v>393</v>
      </c>
      <c r="F458" s="149"/>
      <c r="G458" s="679"/>
      <c r="H458" s="678"/>
      <c r="I458" s="679"/>
      <c r="J458" s="678"/>
      <c r="K458" s="679"/>
      <c r="L458" s="678"/>
      <c r="M458" s="679"/>
      <c r="N458" s="678"/>
      <c r="O458" s="694">
        <f t="shared" si="177"/>
        <v>0</v>
      </c>
      <c r="P458" s="695">
        <f t="shared" si="175"/>
        <v>0</v>
      </c>
      <c r="Q458" s="696">
        <f t="shared" si="178"/>
        <v>0</v>
      </c>
      <c r="R458" s="697">
        <f t="shared" si="187"/>
        <v>0</v>
      </c>
      <c r="S458" s="679"/>
      <c r="T458" s="678"/>
      <c r="U458" s="694">
        <f t="shared" si="179"/>
        <v>0</v>
      </c>
      <c r="V458" s="698">
        <f t="shared" si="180"/>
        <v>0</v>
      </c>
      <c r="W458" s="679"/>
      <c r="X458" s="678"/>
      <c r="Y458" s="679"/>
      <c r="Z458" s="678"/>
      <c r="AA458" s="679"/>
      <c r="AB458" s="678"/>
      <c r="AC458" s="679">
        <v>282972.75</v>
      </c>
      <c r="AD458" s="678">
        <v>290646</v>
      </c>
      <c r="AE458" s="694">
        <f t="shared" si="181"/>
        <v>282972.75</v>
      </c>
      <c r="AF458" s="695">
        <f t="shared" si="188"/>
        <v>314.41416666666669</v>
      </c>
      <c r="AG458" s="696">
        <f t="shared" si="182"/>
        <v>290646</v>
      </c>
      <c r="AH458" s="697">
        <f t="shared" si="189"/>
        <v>322.94</v>
      </c>
      <c r="AI458" s="679"/>
      <c r="AJ458" s="678"/>
      <c r="AK458" s="694">
        <f t="shared" si="183"/>
        <v>0</v>
      </c>
      <c r="AL458" s="698">
        <f t="shared" si="184"/>
        <v>0</v>
      </c>
      <c r="AM458" s="679"/>
      <c r="AN458" s="678"/>
      <c r="AO458" s="679"/>
      <c r="AP458" s="678"/>
      <c r="AQ458" s="679"/>
      <c r="AR458" s="678"/>
      <c r="AS458" s="679"/>
      <c r="AT458" s="678"/>
      <c r="AU458" s="699">
        <f t="shared" si="190"/>
        <v>0</v>
      </c>
      <c r="AV458" s="695">
        <f t="shared" si="176"/>
        <v>0</v>
      </c>
      <c r="AW458" s="696">
        <f t="shared" si="191"/>
        <v>0</v>
      </c>
      <c r="AX458" s="697">
        <f t="shared" si="192"/>
        <v>0</v>
      </c>
      <c r="AY458" s="700">
        <f t="shared" si="185"/>
        <v>314.41416666666669</v>
      </c>
      <c r="AZ458" s="697">
        <f t="shared" si="186"/>
        <v>322.94</v>
      </c>
      <c r="BA458" s="680"/>
    </row>
    <row r="459" spans="1:53">
      <c r="A459" s="532" t="s">
        <v>659</v>
      </c>
      <c r="B459" s="536" t="s">
        <v>698</v>
      </c>
      <c r="C459" s="537">
        <v>365198</v>
      </c>
      <c r="D459" s="155">
        <v>13</v>
      </c>
      <c r="E459" s="148" t="s">
        <v>393</v>
      </c>
      <c r="F459" s="149"/>
      <c r="G459" s="679"/>
      <c r="H459" s="678"/>
      <c r="I459" s="679"/>
      <c r="J459" s="678"/>
      <c r="K459" s="679"/>
      <c r="L459" s="678"/>
      <c r="M459" s="679"/>
      <c r="N459" s="678"/>
      <c r="O459" s="694">
        <f t="shared" si="177"/>
        <v>0</v>
      </c>
      <c r="P459" s="695">
        <f t="shared" si="175"/>
        <v>0</v>
      </c>
      <c r="Q459" s="696">
        <f t="shared" si="178"/>
        <v>0</v>
      </c>
      <c r="R459" s="697">
        <f t="shared" si="187"/>
        <v>0</v>
      </c>
      <c r="S459" s="679"/>
      <c r="T459" s="678"/>
      <c r="U459" s="694">
        <f t="shared" si="179"/>
        <v>0</v>
      </c>
      <c r="V459" s="698">
        <f t="shared" si="180"/>
        <v>0</v>
      </c>
      <c r="W459" s="679"/>
      <c r="X459" s="678"/>
      <c r="Y459" s="679"/>
      <c r="Z459" s="678"/>
      <c r="AA459" s="679"/>
      <c r="AB459" s="678"/>
      <c r="AC459" s="679">
        <v>344932</v>
      </c>
      <c r="AD459" s="678">
        <v>330854</v>
      </c>
      <c r="AE459" s="694">
        <f t="shared" si="181"/>
        <v>344932</v>
      </c>
      <c r="AF459" s="695">
        <f t="shared" si="188"/>
        <v>383.25777777777779</v>
      </c>
      <c r="AG459" s="696">
        <f t="shared" si="182"/>
        <v>330854</v>
      </c>
      <c r="AH459" s="697">
        <f t="shared" si="189"/>
        <v>367.61555555555555</v>
      </c>
      <c r="AI459" s="679"/>
      <c r="AJ459" s="678"/>
      <c r="AK459" s="694">
        <f t="shared" si="183"/>
        <v>0</v>
      </c>
      <c r="AL459" s="698">
        <f t="shared" si="184"/>
        <v>0</v>
      </c>
      <c r="AM459" s="679"/>
      <c r="AN459" s="678"/>
      <c r="AO459" s="679"/>
      <c r="AP459" s="678"/>
      <c r="AQ459" s="679"/>
      <c r="AR459" s="678"/>
      <c r="AS459" s="679"/>
      <c r="AT459" s="678"/>
      <c r="AU459" s="699">
        <f t="shared" si="190"/>
        <v>0</v>
      </c>
      <c r="AV459" s="695">
        <f t="shared" si="176"/>
        <v>0</v>
      </c>
      <c r="AW459" s="696">
        <f t="shared" si="191"/>
        <v>0</v>
      </c>
      <c r="AX459" s="697">
        <f t="shared" si="192"/>
        <v>0</v>
      </c>
      <c r="AY459" s="700">
        <f t="shared" si="185"/>
        <v>383.25777777777779</v>
      </c>
      <c r="AZ459" s="697">
        <f t="shared" si="186"/>
        <v>367.61555555555555</v>
      </c>
      <c r="BA459" s="680"/>
    </row>
    <row r="460" spans="1:53">
      <c r="A460" s="532" t="s">
        <v>659</v>
      </c>
      <c r="B460" s="536" t="s">
        <v>699</v>
      </c>
      <c r="C460" s="537">
        <v>368364</v>
      </c>
      <c r="D460" s="155">
        <v>13</v>
      </c>
      <c r="E460" s="148" t="s">
        <v>393</v>
      </c>
      <c r="F460" s="149"/>
      <c r="G460" s="679"/>
      <c r="H460" s="678"/>
      <c r="I460" s="679"/>
      <c r="J460" s="678"/>
      <c r="K460" s="679"/>
      <c r="L460" s="678"/>
      <c r="M460" s="679"/>
      <c r="N460" s="678"/>
      <c r="O460" s="694">
        <f t="shared" si="177"/>
        <v>0</v>
      </c>
      <c r="P460" s="695">
        <f t="shared" si="175"/>
        <v>0</v>
      </c>
      <c r="Q460" s="696">
        <f t="shared" si="178"/>
        <v>0</v>
      </c>
      <c r="R460" s="697">
        <f t="shared" si="187"/>
        <v>0</v>
      </c>
      <c r="S460" s="679"/>
      <c r="T460" s="678"/>
      <c r="U460" s="694">
        <f t="shared" si="179"/>
        <v>0</v>
      </c>
      <c r="V460" s="698">
        <f t="shared" si="180"/>
        <v>0</v>
      </c>
      <c r="W460" s="679"/>
      <c r="X460" s="678"/>
      <c r="Y460" s="679"/>
      <c r="Z460" s="678"/>
      <c r="AA460" s="679"/>
      <c r="AB460" s="678"/>
      <c r="AC460" s="679">
        <v>180908.98</v>
      </c>
      <c r="AD460" s="678">
        <v>198319</v>
      </c>
      <c r="AE460" s="694">
        <f t="shared" si="181"/>
        <v>180908.98</v>
      </c>
      <c r="AF460" s="695">
        <f t="shared" si="188"/>
        <v>201.00997777777778</v>
      </c>
      <c r="AG460" s="696">
        <f t="shared" si="182"/>
        <v>198319</v>
      </c>
      <c r="AH460" s="697">
        <f t="shared" si="189"/>
        <v>220.35444444444445</v>
      </c>
      <c r="AI460" s="679"/>
      <c r="AJ460" s="678"/>
      <c r="AK460" s="694">
        <f t="shared" si="183"/>
        <v>0</v>
      </c>
      <c r="AL460" s="698">
        <f t="shared" si="184"/>
        <v>0</v>
      </c>
      <c r="AM460" s="679"/>
      <c r="AN460" s="678"/>
      <c r="AO460" s="679"/>
      <c r="AP460" s="678"/>
      <c r="AQ460" s="679"/>
      <c r="AR460" s="678"/>
      <c r="AS460" s="679"/>
      <c r="AT460" s="678"/>
      <c r="AU460" s="699">
        <f t="shared" si="190"/>
        <v>0</v>
      </c>
      <c r="AV460" s="695">
        <f t="shared" si="176"/>
        <v>0</v>
      </c>
      <c r="AW460" s="696">
        <f t="shared" si="191"/>
        <v>0</v>
      </c>
      <c r="AX460" s="697">
        <f t="shared" si="192"/>
        <v>0</v>
      </c>
      <c r="AY460" s="700">
        <f t="shared" si="185"/>
        <v>201.00997777777778</v>
      </c>
      <c r="AZ460" s="697">
        <f t="shared" si="186"/>
        <v>220.35444444444445</v>
      </c>
      <c r="BA460" s="680"/>
    </row>
    <row r="461" spans="1:53">
      <c r="A461" s="532" t="s">
        <v>659</v>
      </c>
      <c r="B461" s="536" t="s">
        <v>700</v>
      </c>
      <c r="C461" s="537">
        <v>418287</v>
      </c>
      <c r="D461" s="155">
        <v>13</v>
      </c>
      <c r="E461" s="148" t="s">
        <v>393</v>
      </c>
      <c r="F461" s="149"/>
      <c r="G461" s="679"/>
      <c r="H461" s="678"/>
      <c r="I461" s="679"/>
      <c r="J461" s="678"/>
      <c r="K461" s="679"/>
      <c r="L461" s="678"/>
      <c r="M461" s="679"/>
      <c r="N461" s="678"/>
      <c r="O461" s="694">
        <f t="shared" si="177"/>
        <v>0</v>
      </c>
      <c r="P461" s="695">
        <f t="shared" si="175"/>
        <v>0</v>
      </c>
      <c r="Q461" s="696">
        <f t="shared" si="178"/>
        <v>0</v>
      </c>
      <c r="R461" s="697">
        <f t="shared" si="187"/>
        <v>0</v>
      </c>
      <c r="S461" s="679"/>
      <c r="T461" s="678"/>
      <c r="U461" s="694">
        <f t="shared" si="179"/>
        <v>0</v>
      </c>
      <c r="V461" s="698">
        <f t="shared" si="180"/>
        <v>0</v>
      </c>
      <c r="W461" s="679"/>
      <c r="X461" s="678"/>
      <c r="Y461" s="679"/>
      <c r="Z461" s="678"/>
      <c r="AA461" s="679"/>
      <c r="AB461" s="678"/>
      <c r="AC461" s="679">
        <v>392395.8</v>
      </c>
      <c r="AD461" s="678">
        <v>404434</v>
      </c>
      <c r="AE461" s="694">
        <f t="shared" si="181"/>
        <v>392395.8</v>
      </c>
      <c r="AF461" s="695">
        <f t="shared" si="188"/>
        <v>435.99533333333329</v>
      </c>
      <c r="AG461" s="696">
        <f t="shared" si="182"/>
        <v>404434</v>
      </c>
      <c r="AH461" s="697">
        <f t="shared" si="189"/>
        <v>449.37111111111113</v>
      </c>
      <c r="AI461" s="679"/>
      <c r="AJ461" s="678"/>
      <c r="AK461" s="694">
        <f t="shared" si="183"/>
        <v>0</v>
      </c>
      <c r="AL461" s="698">
        <f t="shared" si="184"/>
        <v>0</v>
      </c>
      <c r="AM461" s="679"/>
      <c r="AN461" s="678"/>
      <c r="AO461" s="679"/>
      <c r="AP461" s="678"/>
      <c r="AQ461" s="679"/>
      <c r="AR461" s="678"/>
      <c r="AS461" s="679"/>
      <c r="AT461" s="678"/>
      <c r="AU461" s="699">
        <f t="shared" si="190"/>
        <v>0</v>
      </c>
      <c r="AV461" s="695">
        <f t="shared" si="176"/>
        <v>0</v>
      </c>
      <c r="AW461" s="696">
        <f t="shared" si="191"/>
        <v>0</v>
      </c>
      <c r="AX461" s="697">
        <f t="shared" si="192"/>
        <v>0</v>
      </c>
      <c r="AY461" s="700">
        <f t="shared" si="185"/>
        <v>435.99533333333329</v>
      </c>
      <c r="AZ461" s="697">
        <f t="shared" si="186"/>
        <v>449.37111111111113</v>
      </c>
      <c r="BA461" s="680"/>
    </row>
    <row r="462" spans="1:53">
      <c r="A462" s="532" t="s">
        <v>659</v>
      </c>
      <c r="B462" s="597" t="s">
        <v>701</v>
      </c>
      <c r="C462" s="537">
        <v>207607</v>
      </c>
      <c r="D462" s="155">
        <v>13</v>
      </c>
      <c r="E462" s="148" t="s">
        <v>393</v>
      </c>
      <c r="F462" s="149"/>
      <c r="G462" s="679"/>
      <c r="H462" s="678"/>
      <c r="I462" s="679"/>
      <c r="J462" s="678"/>
      <c r="K462" s="679"/>
      <c r="L462" s="678"/>
      <c r="M462" s="679"/>
      <c r="N462" s="678"/>
      <c r="O462" s="694">
        <f t="shared" si="177"/>
        <v>0</v>
      </c>
      <c r="P462" s="695">
        <f t="shared" si="175"/>
        <v>0</v>
      </c>
      <c r="Q462" s="696">
        <f t="shared" si="178"/>
        <v>0</v>
      </c>
      <c r="R462" s="697">
        <f t="shared" si="187"/>
        <v>0</v>
      </c>
      <c r="S462" s="679"/>
      <c r="T462" s="678"/>
      <c r="U462" s="694">
        <f t="shared" si="179"/>
        <v>0</v>
      </c>
      <c r="V462" s="698">
        <f t="shared" si="180"/>
        <v>0</v>
      </c>
      <c r="W462" s="679"/>
      <c r="X462" s="678"/>
      <c r="Y462" s="679"/>
      <c r="Z462" s="678"/>
      <c r="AA462" s="679"/>
      <c r="AB462" s="678"/>
      <c r="AC462" s="679">
        <v>374840.25</v>
      </c>
      <c r="AD462" s="678">
        <v>404180</v>
      </c>
      <c r="AE462" s="694">
        <f t="shared" si="181"/>
        <v>374840.25</v>
      </c>
      <c r="AF462" s="695">
        <f t="shared" si="188"/>
        <v>416.48916666666668</v>
      </c>
      <c r="AG462" s="696">
        <f t="shared" si="182"/>
        <v>404180</v>
      </c>
      <c r="AH462" s="697">
        <f t="shared" si="189"/>
        <v>449.0888888888889</v>
      </c>
      <c r="AI462" s="679"/>
      <c r="AJ462" s="678"/>
      <c r="AK462" s="694">
        <f t="shared" si="183"/>
        <v>0</v>
      </c>
      <c r="AL462" s="698">
        <f t="shared" si="184"/>
        <v>0</v>
      </c>
      <c r="AM462" s="679"/>
      <c r="AN462" s="678"/>
      <c r="AO462" s="679"/>
      <c r="AP462" s="678"/>
      <c r="AQ462" s="679"/>
      <c r="AR462" s="678"/>
      <c r="AS462" s="679"/>
      <c r="AT462" s="678"/>
      <c r="AU462" s="699">
        <f t="shared" si="190"/>
        <v>0</v>
      </c>
      <c r="AV462" s="695">
        <f t="shared" si="176"/>
        <v>0</v>
      </c>
      <c r="AW462" s="696">
        <f t="shared" si="191"/>
        <v>0</v>
      </c>
      <c r="AX462" s="697">
        <f t="shared" si="192"/>
        <v>0</v>
      </c>
      <c r="AY462" s="700">
        <f t="shared" si="185"/>
        <v>416.48916666666668</v>
      </c>
      <c r="AZ462" s="697">
        <f t="shared" si="186"/>
        <v>449.0888888888889</v>
      </c>
      <c r="BA462" s="680"/>
    </row>
    <row r="463" spans="1:53">
      <c r="A463" s="532" t="s">
        <v>659</v>
      </c>
      <c r="B463" s="536" t="s">
        <v>702</v>
      </c>
      <c r="C463" s="537">
        <v>261375</v>
      </c>
      <c r="D463" s="155">
        <v>13</v>
      </c>
      <c r="E463" s="148" t="s">
        <v>393</v>
      </c>
      <c r="F463" s="149"/>
      <c r="G463" s="679"/>
      <c r="H463" s="678"/>
      <c r="I463" s="679"/>
      <c r="J463" s="678"/>
      <c r="K463" s="679"/>
      <c r="L463" s="678"/>
      <c r="M463" s="679"/>
      <c r="N463" s="678"/>
      <c r="O463" s="694">
        <f t="shared" si="177"/>
        <v>0</v>
      </c>
      <c r="P463" s="695">
        <f t="shared" ref="P463:P526" si="193">+O463/30</f>
        <v>0</v>
      </c>
      <c r="Q463" s="696">
        <f t="shared" si="178"/>
        <v>0</v>
      </c>
      <c r="R463" s="697">
        <f t="shared" si="187"/>
        <v>0</v>
      </c>
      <c r="S463" s="679"/>
      <c r="T463" s="678"/>
      <c r="U463" s="694">
        <f t="shared" si="179"/>
        <v>0</v>
      </c>
      <c r="V463" s="698">
        <f t="shared" si="180"/>
        <v>0</v>
      </c>
      <c r="W463" s="679"/>
      <c r="X463" s="678"/>
      <c r="Y463" s="679"/>
      <c r="Z463" s="678"/>
      <c r="AA463" s="679"/>
      <c r="AB463" s="678"/>
      <c r="AC463" s="679">
        <v>772305.5</v>
      </c>
      <c r="AD463" s="678">
        <v>717091</v>
      </c>
      <c r="AE463" s="694">
        <f t="shared" si="181"/>
        <v>772305.5</v>
      </c>
      <c r="AF463" s="695">
        <f t="shared" si="188"/>
        <v>858.11722222222227</v>
      </c>
      <c r="AG463" s="696">
        <f t="shared" si="182"/>
        <v>717091</v>
      </c>
      <c r="AH463" s="697">
        <f t="shared" si="189"/>
        <v>796.76777777777772</v>
      </c>
      <c r="AI463" s="679"/>
      <c r="AJ463" s="678"/>
      <c r="AK463" s="694">
        <f t="shared" si="183"/>
        <v>0</v>
      </c>
      <c r="AL463" s="698">
        <f t="shared" si="184"/>
        <v>0</v>
      </c>
      <c r="AM463" s="679"/>
      <c r="AN463" s="678"/>
      <c r="AO463" s="679"/>
      <c r="AP463" s="678"/>
      <c r="AQ463" s="679"/>
      <c r="AR463" s="678"/>
      <c r="AS463" s="679"/>
      <c r="AT463" s="678"/>
      <c r="AU463" s="699">
        <f t="shared" si="190"/>
        <v>0</v>
      </c>
      <c r="AV463" s="695">
        <f t="shared" si="176"/>
        <v>0</v>
      </c>
      <c r="AW463" s="696">
        <f t="shared" si="191"/>
        <v>0</v>
      </c>
      <c r="AX463" s="697">
        <f t="shared" si="192"/>
        <v>0</v>
      </c>
      <c r="AY463" s="700">
        <f t="shared" si="185"/>
        <v>858.11722222222227</v>
      </c>
      <c r="AZ463" s="697">
        <f t="shared" si="186"/>
        <v>796.76777777777772</v>
      </c>
      <c r="BA463" s="680"/>
    </row>
    <row r="464" spans="1:53">
      <c r="A464" s="532" t="s">
        <v>659</v>
      </c>
      <c r="B464" s="536" t="s">
        <v>703</v>
      </c>
      <c r="C464" s="537">
        <v>261384</v>
      </c>
      <c r="D464" s="155">
        <v>13</v>
      </c>
      <c r="E464" s="148" t="s">
        <v>393</v>
      </c>
      <c r="F464" s="149"/>
      <c r="G464" s="679"/>
      <c r="H464" s="678"/>
      <c r="I464" s="679"/>
      <c r="J464" s="678"/>
      <c r="K464" s="679"/>
      <c r="L464" s="678"/>
      <c r="M464" s="679"/>
      <c r="N464" s="678"/>
      <c r="O464" s="694">
        <f t="shared" si="177"/>
        <v>0</v>
      </c>
      <c r="P464" s="695">
        <f t="shared" si="193"/>
        <v>0</v>
      </c>
      <c r="Q464" s="696">
        <f t="shared" si="178"/>
        <v>0</v>
      </c>
      <c r="R464" s="697">
        <f t="shared" si="187"/>
        <v>0</v>
      </c>
      <c r="S464" s="679"/>
      <c r="T464" s="678"/>
      <c r="U464" s="694">
        <f t="shared" si="179"/>
        <v>0</v>
      </c>
      <c r="V464" s="698">
        <f t="shared" si="180"/>
        <v>0</v>
      </c>
      <c r="W464" s="679"/>
      <c r="X464" s="678"/>
      <c r="Y464" s="679"/>
      <c r="Z464" s="678"/>
      <c r="AA464" s="679"/>
      <c r="AB464" s="678"/>
      <c r="AC464" s="679">
        <v>386058.75</v>
      </c>
      <c r="AD464" s="678">
        <v>373497</v>
      </c>
      <c r="AE464" s="694">
        <f t="shared" si="181"/>
        <v>386058.75</v>
      </c>
      <c r="AF464" s="695">
        <f t="shared" si="188"/>
        <v>428.95416666666665</v>
      </c>
      <c r="AG464" s="696">
        <f t="shared" si="182"/>
        <v>373497</v>
      </c>
      <c r="AH464" s="697">
        <f t="shared" si="189"/>
        <v>414.99666666666667</v>
      </c>
      <c r="AI464" s="679"/>
      <c r="AJ464" s="678"/>
      <c r="AK464" s="694">
        <f t="shared" si="183"/>
        <v>0</v>
      </c>
      <c r="AL464" s="698">
        <f t="shared" si="184"/>
        <v>0</v>
      </c>
      <c r="AM464" s="679"/>
      <c r="AN464" s="678"/>
      <c r="AO464" s="679"/>
      <c r="AP464" s="678"/>
      <c r="AQ464" s="679"/>
      <c r="AR464" s="678"/>
      <c r="AS464" s="679"/>
      <c r="AT464" s="678"/>
      <c r="AU464" s="699">
        <f t="shared" si="190"/>
        <v>0</v>
      </c>
      <c r="AV464" s="695">
        <f t="shared" si="176"/>
        <v>0</v>
      </c>
      <c r="AW464" s="696">
        <f t="shared" si="191"/>
        <v>0</v>
      </c>
      <c r="AX464" s="697">
        <f t="shared" si="192"/>
        <v>0</v>
      </c>
      <c r="AY464" s="700">
        <f t="shared" si="185"/>
        <v>428.95416666666665</v>
      </c>
      <c r="AZ464" s="697">
        <f t="shared" si="186"/>
        <v>414.99666666666667</v>
      </c>
      <c r="BA464" s="680"/>
    </row>
    <row r="465" spans="1:53">
      <c r="A465" s="532" t="s">
        <v>659</v>
      </c>
      <c r="B465" s="536" t="s">
        <v>704</v>
      </c>
      <c r="C465" s="537">
        <v>418357</v>
      </c>
      <c r="D465" s="155">
        <v>13</v>
      </c>
      <c r="E465" s="148" t="s">
        <v>393</v>
      </c>
      <c r="F465" s="149"/>
      <c r="G465" s="679"/>
      <c r="H465" s="678"/>
      <c r="I465" s="679"/>
      <c r="J465" s="678"/>
      <c r="K465" s="679"/>
      <c r="L465" s="678"/>
      <c r="M465" s="679"/>
      <c r="N465" s="678"/>
      <c r="O465" s="694">
        <f t="shared" si="177"/>
        <v>0</v>
      </c>
      <c r="P465" s="695">
        <f t="shared" si="193"/>
        <v>0</v>
      </c>
      <c r="Q465" s="696">
        <f t="shared" si="178"/>
        <v>0</v>
      </c>
      <c r="R465" s="697">
        <f t="shared" si="187"/>
        <v>0</v>
      </c>
      <c r="S465" s="679"/>
      <c r="T465" s="678"/>
      <c r="U465" s="694">
        <f t="shared" si="179"/>
        <v>0</v>
      </c>
      <c r="V465" s="698">
        <f t="shared" si="180"/>
        <v>0</v>
      </c>
      <c r="W465" s="679"/>
      <c r="X465" s="678"/>
      <c r="Y465" s="679"/>
      <c r="Z465" s="678"/>
      <c r="AA465" s="679"/>
      <c r="AB465" s="678"/>
      <c r="AC465" s="679">
        <v>181083.75</v>
      </c>
      <c r="AD465" s="678">
        <v>165237</v>
      </c>
      <c r="AE465" s="694">
        <f t="shared" si="181"/>
        <v>181083.75</v>
      </c>
      <c r="AF465" s="695">
        <f t="shared" si="188"/>
        <v>201.20416666666668</v>
      </c>
      <c r="AG465" s="696">
        <f t="shared" si="182"/>
        <v>165237</v>
      </c>
      <c r="AH465" s="697">
        <f t="shared" si="189"/>
        <v>183.59666666666666</v>
      </c>
      <c r="AI465" s="679"/>
      <c r="AJ465" s="678"/>
      <c r="AK465" s="694">
        <f t="shared" si="183"/>
        <v>0</v>
      </c>
      <c r="AL465" s="698">
        <f t="shared" si="184"/>
        <v>0</v>
      </c>
      <c r="AM465" s="679"/>
      <c r="AN465" s="678"/>
      <c r="AO465" s="679"/>
      <c r="AP465" s="678"/>
      <c r="AQ465" s="679"/>
      <c r="AR465" s="678"/>
      <c r="AS465" s="679"/>
      <c r="AT465" s="678"/>
      <c r="AU465" s="699">
        <f t="shared" si="190"/>
        <v>0</v>
      </c>
      <c r="AV465" s="695">
        <f t="shared" si="176"/>
        <v>0</v>
      </c>
      <c r="AW465" s="696">
        <f t="shared" si="191"/>
        <v>0</v>
      </c>
      <c r="AX465" s="697">
        <f t="shared" si="192"/>
        <v>0</v>
      </c>
      <c r="AY465" s="700">
        <f t="shared" si="185"/>
        <v>201.20416666666668</v>
      </c>
      <c r="AZ465" s="697">
        <f t="shared" si="186"/>
        <v>183.59666666666666</v>
      </c>
      <c r="BA465" s="680"/>
    </row>
    <row r="466" spans="1:53">
      <c r="A466" s="532" t="s">
        <v>659</v>
      </c>
      <c r="B466" s="536" t="s">
        <v>705</v>
      </c>
      <c r="C466" s="537">
        <v>418302</v>
      </c>
      <c r="D466" s="155">
        <v>13</v>
      </c>
      <c r="E466" s="148" t="s">
        <v>393</v>
      </c>
      <c r="F466" s="149"/>
      <c r="G466" s="679"/>
      <c r="H466" s="678"/>
      <c r="I466" s="679"/>
      <c r="J466" s="678"/>
      <c r="K466" s="679"/>
      <c r="L466" s="678"/>
      <c r="M466" s="679"/>
      <c r="N466" s="678"/>
      <c r="O466" s="694">
        <f t="shared" si="177"/>
        <v>0</v>
      </c>
      <c r="P466" s="695">
        <f t="shared" si="193"/>
        <v>0</v>
      </c>
      <c r="Q466" s="696">
        <f t="shared" si="178"/>
        <v>0</v>
      </c>
      <c r="R466" s="697">
        <f t="shared" si="187"/>
        <v>0</v>
      </c>
      <c r="S466" s="679"/>
      <c r="T466" s="678"/>
      <c r="U466" s="694">
        <f t="shared" si="179"/>
        <v>0</v>
      </c>
      <c r="V466" s="698">
        <f t="shared" si="180"/>
        <v>0</v>
      </c>
      <c r="W466" s="679"/>
      <c r="X466" s="678"/>
      <c r="Y466" s="679"/>
      <c r="Z466" s="678"/>
      <c r="AA466" s="679"/>
      <c r="AB466" s="678"/>
      <c r="AC466" s="679">
        <v>339272.54</v>
      </c>
      <c r="AD466" s="678">
        <v>348394</v>
      </c>
      <c r="AE466" s="694">
        <f t="shared" si="181"/>
        <v>339272.54</v>
      </c>
      <c r="AF466" s="695">
        <f t="shared" si="188"/>
        <v>376.96948888888886</v>
      </c>
      <c r="AG466" s="696">
        <f t="shared" si="182"/>
        <v>348394</v>
      </c>
      <c r="AH466" s="697">
        <f t="shared" si="189"/>
        <v>387.10444444444443</v>
      </c>
      <c r="AI466" s="679"/>
      <c r="AJ466" s="678"/>
      <c r="AK466" s="694">
        <f t="shared" si="183"/>
        <v>0</v>
      </c>
      <c r="AL466" s="698">
        <f t="shared" si="184"/>
        <v>0</v>
      </c>
      <c r="AM466" s="679"/>
      <c r="AN466" s="678"/>
      <c r="AO466" s="679"/>
      <c r="AP466" s="678"/>
      <c r="AQ466" s="679"/>
      <c r="AR466" s="678"/>
      <c r="AS466" s="679"/>
      <c r="AT466" s="678"/>
      <c r="AU466" s="699">
        <f t="shared" si="190"/>
        <v>0</v>
      </c>
      <c r="AV466" s="695">
        <f t="shared" si="176"/>
        <v>0</v>
      </c>
      <c r="AW466" s="696">
        <f t="shared" si="191"/>
        <v>0</v>
      </c>
      <c r="AX466" s="697">
        <f t="shared" si="192"/>
        <v>0</v>
      </c>
      <c r="AY466" s="700">
        <f t="shared" si="185"/>
        <v>376.96948888888886</v>
      </c>
      <c r="AZ466" s="697">
        <f t="shared" si="186"/>
        <v>387.10444444444443</v>
      </c>
      <c r="BA466" s="680"/>
    </row>
    <row r="467" spans="1:53">
      <c r="A467" s="532" t="s">
        <v>659</v>
      </c>
      <c r="B467" s="593" t="s">
        <v>917</v>
      </c>
      <c r="C467" s="537"/>
      <c r="D467" s="155">
        <v>13</v>
      </c>
      <c r="E467" s="148" t="s">
        <v>393</v>
      </c>
      <c r="F467" s="149"/>
      <c r="G467" s="679"/>
      <c r="H467" s="678"/>
      <c r="I467" s="679"/>
      <c r="J467" s="678"/>
      <c r="K467" s="679"/>
      <c r="L467" s="678"/>
      <c r="M467" s="679"/>
      <c r="N467" s="678"/>
      <c r="O467" s="694">
        <f t="shared" si="177"/>
        <v>0</v>
      </c>
      <c r="P467" s="695">
        <f t="shared" si="193"/>
        <v>0</v>
      </c>
      <c r="Q467" s="696">
        <f t="shared" si="178"/>
        <v>0</v>
      </c>
      <c r="R467" s="697">
        <f t="shared" ref="R467:R473" si="194">+Q467/30</f>
        <v>0</v>
      </c>
      <c r="S467" s="679"/>
      <c r="T467" s="678"/>
      <c r="U467" s="694">
        <f t="shared" si="179"/>
        <v>0</v>
      </c>
      <c r="V467" s="698">
        <f t="shared" si="180"/>
        <v>0</v>
      </c>
      <c r="W467" s="679"/>
      <c r="X467" s="678"/>
      <c r="Y467" s="679"/>
      <c r="Z467" s="678"/>
      <c r="AA467" s="679"/>
      <c r="AB467" s="678"/>
      <c r="AC467" s="712">
        <f>SUM(AC433:AC437)</f>
        <v>1275830.5</v>
      </c>
      <c r="AD467" s="678">
        <f>SUM(AD433:AD437)</f>
        <v>1237624</v>
      </c>
      <c r="AE467" s="694">
        <f t="shared" si="181"/>
        <v>1275830.5</v>
      </c>
      <c r="AF467" s="695">
        <f t="shared" ref="AF467:AF472" si="195">+AE467/900</f>
        <v>1417.5894444444446</v>
      </c>
      <c r="AG467" s="696">
        <f t="shared" si="182"/>
        <v>1237624</v>
      </c>
      <c r="AH467" s="697">
        <f t="shared" ref="AH467:AH472" si="196">+AG467/900</f>
        <v>1375.1377777777777</v>
      </c>
      <c r="AI467" s="679"/>
      <c r="AJ467" s="678"/>
      <c r="AK467" s="694">
        <f t="shared" si="183"/>
        <v>0</v>
      </c>
      <c r="AL467" s="698">
        <f t="shared" si="184"/>
        <v>0</v>
      </c>
      <c r="AM467" s="679"/>
      <c r="AN467" s="678"/>
      <c r="AO467" s="679"/>
      <c r="AP467" s="678"/>
      <c r="AQ467" s="679"/>
      <c r="AR467" s="678"/>
      <c r="AS467" s="679"/>
      <c r="AT467" s="678"/>
      <c r="AU467" s="699">
        <f t="shared" ref="AU467:AU473" si="197">SUM(AM467,AO467,AQ467,AS467)</f>
        <v>0</v>
      </c>
      <c r="AV467" s="695">
        <f t="shared" ref="AV467:AV473" si="198">+AU467/24</f>
        <v>0</v>
      </c>
      <c r="AW467" s="696">
        <f t="shared" ref="AW467:AW473" si="199">SUM(AN467,AP467,AR467,AT467)</f>
        <v>0</v>
      </c>
      <c r="AX467" s="697">
        <f t="shared" ref="AX467:AX473" si="200">+AW467/24</f>
        <v>0</v>
      </c>
      <c r="AY467" s="700">
        <f t="shared" si="185"/>
        <v>1417.5894444444446</v>
      </c>
      <c r="AZ467" s="697">
        <f t="shared" si="186"/>
        <v>1375.1377777777777</v>
      </c>
      <c r="BA467" s="680"/>
    </row>
    <row r="468" spans="1:53">
      <c r="A468" s="532" t="s">
        <v>659</v>
      </c>
      <c r="B468" s="594" t="s">
        <v>918</v>
      </c>
      <c r="C468" s="537"/>
      <c r="D468" s="155">
        <v>13</v>
      </c>
      <c r="E468" s="148" t="s">
        <v>393</v>
      </c>
      <c r="F468" s="149"/>
      <c r="G468" s="679"/>
      <c r="H468" s="678"/>
      <c r="I468" s="679"/>
      <c r="J468" s="678"/>
      <c r="K468" s="679"/>
      <c r="L468" s="678"/>
      <c r="M468" s="679"/>
      <c r="N468" s="678"/>
      <c r="O468" s="694">
        <f t="shared" si="177"/>
        <v>0</v>
      </c>
      <c r="P468" s="695">
        <f t="shared" si="193"/>
        <v>0</v>
      </c>
      <c r="Q468" s="696">
        <f t="shared" si="178"/>
        <v>0</v>
      </c>
      <c r="R468" s="697">
        <f t="shared" si="194"/>
        <v>0</v>
      </c>
      <c r="S468" s="679"/>
      <c r="T468" s="678"/>
      <c r="U468" s="694">
        <f t="shared" si="179"/>
        <v>0</v>
      </c>
      <c r="V468" s="698">
        <f t="shared" si="180"/>
        <v>0</v>
      </c>
      <c r="W468" s="679"/>
      <c r="X468" s="678"/>
      <c r="Y468" s="679"/>
      <c r="Z468" s="678"/>
      <c r="AA468" s="679"/>
      <c r="AB468" s="678"/>
      <c r="AC468" s="712">
        <f>SUM(AC438:AC446)</f>
        <v>1599329.97</v>
      </c>
      <c r="AD468" s="678">
        <f>SUM(AD438:AD446)</f>
        <v>1535769</v>
      </c>
      <c r="AE468" s="694">
        <f t="shared" si="181"/>
        <v>1599329.97</v>
      </c>
      <c r="AF468" s="695">
        <f t="shared" si="195"/>
        <v>1777.0333000000001</v>
      </c>
      <c r="AG468" s="696">
        <f t="shared" si="182"/>
        <v>1535769</v>
      </c>
      <c r="AH468" s="697">
        <f t="shared" si="196"/>
        <v>1706.41</v>
      </c>
      <c r="AI468" s="679"/>
      <c r="AJ468" s="678"/>
      <c r="AK468" s="694">
        <f t="shared" si="183"/>
        <v>0</v>
      </c>
      <c r="AL468" s="698">
        <f t="shared" si="184"/>
        <v>0</v>
      </c>
      <c r="AM468" s="679"/>
      <c r="AN468" s="678"/>
      <c r="AO468" s="679"/>
      <c r="AP468" s="678"/>
      <c r="AQ468" s="679"/>
      <c r="AR468" s="678"/>
      <c r="AS468" s="679"/>
      <c r="AT468" s="678"/>
      <c r="AU468" s="699">
        <f t="shared" si="197"/>
        <v>0</v>
      </c>
      <c r="AV468" s="695">
        <f t="shared" si="198"/>
        <v>0</v>
      </c>
      <c r="AW468" s="696">
        <f t="shared" si="199"/>
        <v>0</v>
      </c>
      <c r="AX468" s="697">
        <f t="shared" si="200"/>
        <v>0</v>
      </c>
      <c r="AY468" s="700">
        <f t="shared" si="185"/>
        <v>1777.0333000000001</v>
      </c>
      <c r="AZ468" s="697">
        <f t="shared" si="186"/>
        <v>1706.41</v>
      </c>
      <c r="BA468" s="680"/>
    </row>
    <row r="469" spans="1:53">
      <c r="A469" s="532" t="s">
        <v>659</v>
      </c>
      <c r="B469" s="595" t="s">
        <v>919</v>
      </c>
      <c r="C469" s="537"/>
      <c r="D469" s="155">
        <v>13</v>
      </c>
      <c r="E469" s="148" t="s">
        <v>393</v>
      </c>
      <c r="F469" s="149"/>
      <c r="G469" s="679"/>
      <c r="H469" s="678"/>
      <c r="I469" s="679"/>
      <c r="J469" s="678"/>
      <c r="K469" s="679"/>
      <c r="L469" s="678"/>
      <c r="M469" s="679"/>
      <c r="N469" s="678"/>
      <c r="O469" s="694">
        <f t="shared" si="177"/>
        <v>0</v>
      </c>
      <c r="P469" s="695">
        <f t="shared" si="193"/>
        <v>0</v>
      </c>
      <c r="Q469" s="696">
        <f t="shared" si="178"/>
        <v>0</v>
      </c>
      <c r="R469" s="697">
        <f t="shared" si="194"/>
        <v>0</v>
      </c>
      <c r="S469" s="679"/>
      <c r="T469" s="678"/>
      <c r="U469" s="694">
        <f t="shared" si="179"/>
        <v>0</v>
      </c>
      <c r="V469" s="698">
        <f t="shared" si="180"/>
        <v>0</v>
      </c>
      <c r="W469" s="679"/>
      <c r="X469" s="678"/>
      <c r="Y469" s="679"/>
      <c r="Z469" s="678"/>
      <c r="AA469" s="679"/>
      <c r="AB469" s="678"/>
      <c r="AC469" s="712">
        <f>SUM(AC451:AC453)</f>
        <v>890523.95</v>
      </c>
      <c r="AD469" s="678">
        <f>SUM(AD451:AD453)</f>
        <v>832679</v>
      </c>
      <c r="AE469" s="694">
        <f t="shared" si="181"/>
        <v>890523.95</v>
      </c>
      <c r="AF469" s="695">
        <f t="shared" si="195"/>
        <v>989.47105555555549</v>
      </c>
      <c r="AG469" s="696">
        <f t="shared" si="182"/>
        <v>832679</v>
      </c>
      <c r="AH469" s="697">
        <f t="shared" si="196"/>
        <v>925.19888888888886</v>
      </c>
      <c r="AI469" s="679"/>
      <c r="AJ469" s="678"/>
      <c r="AK469" s="694">
        <f t="shared" si="183"/>
        <v>0</v>
      </c>
      <c r="AL469" s="698">
        <f t="shared" si="184"/>
        <v>0</v>
      </c>
      <c r="AM469" s="679"/>
      <c r="AN469" s="678"/>
      <c r="AO469" s="679"/>
      <c r="AP469" s="678"/>
      <c r="AQ469" s="679"/>
      <c r="AR469" s="678"/>
      <c r="AS469" s="679"/>
      <c r="AT469" s="678"/>
      <c r="AU469" s="699">
        <f t="shared" si="197"/>
        <v>0</v>
      </c>
      <c r="AV469" s="695">
        <f t="shared" si="198"/>
        <v>0</v>
      </c>
      <c r="AW469" s="696">
        <f t="shared" si="199"/>
        <v>0</v>
      </c>
      <c r="AX469" s="697">
        <f t="shared" si="200"/>
        <v>0</v>
      </c>
      <c r="AY469" s="700">
        <f t="shared" si="185"/>
        <v>989.47105555555549</v>
      </c>
      <c r="AZ469" s="697">
        <f t="shared" si="186"/>
        <v>925.19888888888886</v>
      </c>
      <c r="BA469" s="680"/>
    </row>
    <row r="470" spans="1:53">
      <c r="A470" s="532" t="s">
        <v>659</v>
      </c>
      <c r="B470" s="596" t="s">
        <v>920</v>
      </c>
      <c r="C470" s="537"/>
      <c r="D470" s="155">
        <v>13</v>
      </c>
      <c r="E470" s="148" t="s">
        <v>393</v>
      </c>
      <c r="F470" s="149"/>
      <c r="G470" s="679"/>
      <c r="H470" s="678"/>
      <c r="I470" s="679"/>
      <c r="J470" s="678"/>
      <c r="K470" s="679"/>
      <c r="L470" s="678"/>
      <c r="M470" s="679"/>
      <c r="N470" s="678"/>
      <c r="O470" s="694">
        <f t="shared" si="177"/>
        <v>0</v>
      </c>
      <c r="P470" s="695">
        <f t="shared" si="193"/>
        <v>0</v>
      </c>
      <c r="Q470" s="696">
        <f t="shared" si="178"/>
        <v>0</v>
      </c>
      <c r="R470" s="697">
        <f t="shared" si="194"/>
        <v>0</v>
      </c>
      <c r="S470" s="679"/>
      <c r="T470" s="678"/>
      <c r="U470" s="694">
        <f t="shared" si="179"/>
        <v>0</v>
      </c>
      <c r="V470" s="698">
        <f t="shared" si="180"/>
        <v>0</v>
      </c>
      <c r="W470" s="679"/>
      <c r="X470" s="678"/>
      <c r="Y470" s="679"/>
      <c r="Z470" s="678"/>
      <c r="AA470" s="679"/>
      <c r="AB470" s="678"/>
      <c r="AC470" s="712">
        <f>SUM(AC454:AC455)</f>
        <v>166984.5</v>
      </c>
      <c r="AD470" s="678">
        <f>SUM(AD454:AD455)</f>
        <v>157032</v>
      </c>
      <c r="AE470" s="694">
        <f t="shared" si="181"/>
        <v>166984.5</v>
      </c>
      <c r="AF470" s="695">
        <f t="shared" si="195"/>
        <v>185.53833333333333</v>
      </c>
      <c r="AG470" s="696">
        <f t="shared" si="182"/>
        <v>157032</v>
      </c>
      <c r="AH470" s="697">
        <f t="shared" si="196"/>
        <v>174.48</v>
      </c>
      <c r="AI470" s="679"/>
      <c r="AJ470" s="678"/>
      <c r="AK470" s="694">
        <f t="shared" si="183"/>
        <v>0</v>
      </c>
      <c r="AL470" s="698">
        <f t="shared" si="184"/>
        <v>0</v>
      </c>
      <c r="AM470" s="679"/>
      <c r="AN470" s="678"/>
      <c r="AO470" s="679"/>
      <c r="AP470" s="678"/>
      <c r="AQ470" s="679"/>
      <c r="AR470" s="678"/>
      <c r="AS470" s="679"/>
      <c r="AT470" s="678"/>
      <c r="AU470" s="699">
        <f t="shared" si="197"/>
        <v>0</v>
      </c>
      <c r="AV470" s="695">
        <f t="shared" si="198"/>
        <v>0</v>
      </c>
      <c r="AW470" s="696">
        <f t="shared" si="199"/>
        <v>0</v>
      </c>
      <c r="AX470" s="697">
        <f t="shared" si="200"/>
        <v>0</v>
      </c>
      <c r="AY470" s="700">
        <f t="shared" si="185"/>
        <v>185.53833333333333</v>
      </c>
      <c r="AZ470" s="697">
        <f t="shared" si="186"/>
        <v>174.48</v>
      </c>
      <c r="BA470" s="680"/>
    </row>
    <row r="471" spans="1:53">
      <c r="A471" s="532" t="s">
        <v>659</v>
      </c>
      <c r="B471" s="598" t="s">
        <v>921</v>
      </c>
      <c r="C471" s="537"/>
      <c r="D471" s="155">
        <v>13</v>
      </c>
      <c r="E471" s="148" t="s">
        <v>393</v>
      </c>
      <c r="F471" s="149"/>
      <c r="G471" s="679"/>
      <c r="H471" s="678"/>
      <c r="I471" s="679"/>
      <c r="J471" s="678"/>
      <c r="K471" s="679"/>
      <c r="L471" s="678"/>
      <c r="M471" s="679"/>
      <c r="N471" s="678"/>
      <c r="O471" s="694">
        <f t="shared" si="177"/>
        <v>0</v>
      </c>
      <c r="P471" s="695">
        <f t="shared" si="193"/>
        <v>0</v>
      </c>
      <c r="Q471" s="696">
        <f t="shared" si="178"/>
        <v>0</v>
      </c>
      <c r="R471" s="697">
        <f t="shared" si="194"/>
        <v>0</v>
      </c>
      <c r="S471" s="679"/>
      <c r="T471" s="678"/>
      <c r="U471" s="694">
        <f t="shared" si="179"/>
        <v>0</v>
      </c>
      <c r="V471" s="698">
        <f t="shared" si="180"/>
        <v>0</v>
      </c>
      <c r="W471" s="679"/>
      <c r="X471" s="678"/>
      <c r="Y471" s="679"/>
      <c r="Z471" s="678"/>
      <c r="AA471" s="679"/>
      <c r="AB471" s="678"/>
      <c r="AC471" s="712">
        <f>+AC425+AC462</f>
        <v>1347029.85</v>
      </c>
      <c r="AD471" s="678">
        <v>1347029.85</v>
      </c>
      <c r="AE471" s="694">
        <f t="shared" si="181"/>
        <v>1347029.85</v>
      </c>
      <c r="AF471" s="695">
        <f t="shared" si="195"/>
        <v>1496.6998333333333</v>
      </c>
      <c r="AG471" s="696">
        <f t="shared" si="182"/>
        <v>1347029.85</v>
      </c>
      <c r="AH471" s="697">
        <f t="shared" si="196"/>
        <v>1496.6998333333333</v>
      </c>
      <c r="AI471" s="679"/>
      <c r="AJ471" s="678"/>
      <c r="AK471" s="694">
        <f t="shared" si="183"/>
        <v>0</v>
      </c>
      <c r="AL471" s="698">
        <f t="shared" si="184"/>
        <v>0</v>
      </c>
      <c r="AM471" s="679"/>
      <c r="AN471" s="678"/>
      <c r="AO471" s="679"/>
      <c r="AP471" s="678"/>
      <c r="AQ471" s="679"/>
      <c r="AR471" s="678"/>
      <c r="AS471" s="679"/>
      <c r="AT471" s="678"/>
      <c r="AU471" s="699">
        <f t="shared" si="197"/>
        <v>0</v>
      </c>
      <c r="AV471" s="695">
        <f t="shared" si="198"/>
        <v>0</v>
      </c>
      <c r="AW471" s="696">
        <f t="shared" si="199"/>
        <v>0</v>
      </c>
      <c r="AX471" s="697">
        <f t="shared" si="200"/>
        <v>0</v>
      </c>
      <c r="AY471" s="700">
        <f t="shared" si="185"/>
        <v>1496.6998333333333</v>
      </c>
      <c r="AZ471" s="697">
        <f t="shared" si="186"/>
        <v>1496.6998333333333</v>
      </c>
      <c r="BA471" s="680"/>
    </row>
    <row r="472" spans="1:53">
      <c r="A472" s="538" t="s">
        <v>659</v>
      </c>
      <c r="B472" s="539" t="s">
        <v>847</v>
      </c>
      <c r="C472" s="538" t="s">
        <v>620</v>
      </c>
      <c r="D472" s="155">
        <v>14</v>
      </c>
      <c r="E472" s="148" t="s">
        <v>393</v>
      </c>
      <c r="F472" s="149"/>
      <c r="G472" s="679"/>
      <c r="H472" s="678"/>
      <c r="I472" s="679"/>
      <c r="J472" s="678"/>
      <c r="K472" s="679"/>
      <c r="L472" s="678"/>
      <c r="M472" s="679"/>
      <c r="N472" s="678"/>
      <c r="O472" s="694">
        <f t="shared" si="177"/>
        <v>0</v>
      </c>
      <c r="P472" s="695">
        <f t="shared" si="193"/>
        <v>0</v>
      </c>
      <c r="Q472" s="696">
        <f t="shared" si="178"/>
        <v>0</v>
      </c>
      <c r="R472" s="697">
        <f t="shared" si="194"/>
        <v>0</v>
      </c>
      <c r="S472" s="679"/>
      <c r="T472" s="678"/>
      <c r="U472" s="694">
        <f t="shared" si="179"/>
        <v>0</v>
      </c>
      <c r="V472" s="698">
        <f t="shared" si="180"/>
        <v>0</v>
      </c>
      <c r="W472" s="679"/>
      <c r="X472" s="678"/>
      <c r="Y472" s="679"/>
      <c r="Z472" s="678"/>
      <c r="AA472" s="679"/>
      <c r="AB472" s="678"/>
      <c r="AC472" s="679"/>
      <c r="AD472" s="678"/>
      <c r="AE472" s="694">
        <f t="shared" si="181"/>
        <v>0</v>
      </c>
      <c r="AF472" s="695">
        <f t="shared" si="195"/>
        <v>0</v>
      </c>
      <c r="AG472" s="696">
        <f t="shared" si="182"/>
        <v>0</v>
      </c>
      <c r="AH472" s="697">
        <f t="shared" si="196"/>
        <v>0</v>
      </c>
      <c r="AI472" s="679"/>
      <c r="AJ472" s="678"/>
      <c r="AK472" s="694">
        <f t="shared" si="183"/>
        <v>0</v>
      </c>
      <c r="AL472" s="698">
        <f t="shared" si="184"/>
        <v>0</v>
      </c>
      <c r="AM472" s="679"/>
      <c r="AN472" s="678"/>
      <c r="AO472" s="679"/>
      <c r="AP472" s="678"/>
      <c r="AQ472" s="679"/>
      <c r="AR472" s="678"/>
      <c r="AS472" s="679"/>
      <c r="AT472" s="678"/>
      <c r="AU472" s="699">
        <f t="shared" si="197"/>
        <v>0</v>
      </c>
      <c r="AV472" s="695">
        <f t="shared" si="198"/>
        <v>0</v>
      </c>
      <c r="AW472" s="696">
        <f t="shared" si="199"/>
        <v>0</v>
      </c>
      <c r="AX472" s="697">
        <f t="shared" si="200"/>
        <v>0</v>
      </c>
      <c r="AY472" s="700">
        <f t="shared" si="185"/>
        <v>0</v>
      </c>
      <c r="AZ472" s="697">
        <f t="shared" si="186"/>
        <v>0</v>
      </c>
      <c r="BA472" s="680"/>
    </row>
    <row r="473" spans="1:53">
      <c r="A473" s="159" t="s">
        <v>759</v>
      </c>
      <c r="B473" s="160" t="s">
        <v>760</v>
      </c>
      <c r="C473" s="171">
        <v>217882</v>
      </c>
      <c r="D473" s="163">
        <v>1</v>
      </c>
      <c r="E473" s="148" t="s">
        <v>393</v>
      </c>
      <c r="F473" s="149"/>
      <c r="G473" s="679"/>
      <c r="H473" s="678"/>
      <c r="I473" s="679">
        <v>194911</v>
      </c>
      <c r="J473" s="678">
        <v>201488</v>
      </c>
      <c r="K473" s="679">
        <v>27069</v>
      </c>
      <c r="L473" s="678">
        <v>25277</v>
      </c>
      <c r="M473" s="679">
        <v>219442</v>
      </c>
      <c r="N473" s="678">
        <v>229594</v>
      </c>
      <c r="O473" s="694">
        <f t="shared" si="177"/>
        <v>441422</v>
      </c>
      <c r="P473" s="695">
        <f t="shared" si="193"/>
        <v>14714.066666666668</v>
      </c>
      <c r="Q473" s="696">
        <f t="shared" si="178"/>
        <v>456359</v>
      </c>
      <c r="R473" s="697">
        <f t="shared" si="194"/>
        <v>15211.966666666667</v>
      </c>
      <c r="S473" s="679"/>
      <c r="T473" s="678"/>
      <c r="U473" s="694">
        <f t="shared" si="179"/>
        <v>0</v>
      </c>
      <c r="V473" s="698">
        <f t="shared" si="180"/>
        <v>0</v>
      </c>
      <c r="W473" s="679"/>
      <c r="X473" s="678"/>
      <c r="Y473" s="679"/>
      <c r="Z473" s="678"/>
      <c r="AA473" s="679"/>
      <c r="AB473" s="678"/>
      <c r="AC473" s="679"/>
      <c r="AD473" s="678"/>
      <c r="AE473" s="694">
        <f t="shared" si="181"/>
        <v>0</v>
      </c>
      <c r="AF473" s="695">
        <f t="shared" ref="AF473:AF504" si="201">+AE473/900</f>
        <v>0</v>
      </c>
      <c r="AG473" s="696">
        <f t="shared" si="182"/>
        <v>0</v>
      </c>
      <c r="AH473" s="697">
        <f t="shared" ref="AH473:AH504" si="202">+AG473/900</f>
        <v>0</v>
      </c>
      <c r="AI473" s="679"/>
      <c r="AJ473" s="678"/>
      <c r="AK473" s="694">
        <f t="shared" si="183"/>
        <v>0</v>
      </c>
      <c r="AL473" s="698">
        <f t="shared" si="184"/>
        <v>0</v>
      </c>
      <c r="AM473" s="679"/>
      <c r="AN473" s="678"/>
      <c r="AO473" s="679">
        <v>21923</v>
      </c>
      <c r="AP473" s="678">
        <v>27281</v>
      </c>
      <c r="AQ473" s="679">
        <v>9756</v>
      </c>
      <c r="AR473" s="678">
        <v>10374</v>
      </c>
      <c r="AS473" s="679">
        <v>28042</v>
      </c>
      <c r="AT473" s="678">
        <v>30102</v>
      </c>
      <c r="AU473" s="699">
        <f t="shared" si="197"/>
        <v>59721</v>
      </c>
      <c r="AV473" s="695">
        <f t="shared" si="198"/>
        <v>2488.375</v>
      </c>
      <c r="AW473" s="696">
        <f t="shared" si="199"/>
        <v>67757</v>
      </c>
      <c r="AX473" s="697">
        <f t="shared" si="200"/>
        <v>2823.2083333333335</v>
      </c>
      <c r="AY473" s="700">
        <f t="shared" si="185"/>
        <v>17202.441666666666</v>
      </c>
      <c r="AZ473" s="697">
        <f t="shared" si="186"/>
        <v>18035.174999999999</v>
      </c>
      <c r="BA473" s="680"/>
    </row>
    <row r="474" spans="1:53">
      <c r="A474" s="159" t="s">
        <v>759</v>
      </c>
      <c r="B474" s="160" t="s">
        <v>761</v>
      </c>
      <c r="C474" s="171">
        <v>218663</v>
      </c>
      <c r="D474" s="163">
        <v>1</v>
      </c>
      <c r="E474" s="148" t="s">
        <v>393</v>
      </c>
      <c r="F474" s="149"/>
      <c r="G474" s="679"/>
      <c r="H474" s="678"/>
      <c r="I474" s="679">
        <v>257902</v>
      </c>
      <c r="J474" s="678">
        <v>273654</v>
      </c>
      <c r="K474" s="679">
        <v>29156</v>
      </c>
      <c r="L474" s="678">
        <v>28126</v>
      </c>
      <c r="M474" s="679">
        <v>290459</v>
      </c>
      <c r="N474" s="678">
        <v>300521</v>
      </c>
      <c r="O474" s="694">
        <f t="shared" si="177"/>
        <v>577517</v>
      </c>
      <c r="P474" s="695">
        <f t="shared" si="193"/>
        <v>19250.566666666666</v>
      </c>
      <c r="Q474" s="696">
        <f t="shared" si="178"/>
        <v>602301</v>
      </c>
      <c r="R474" s="697">
        <f t="shared" ref="R474:R504" si="203">+Q474/30</f>
        <v>20076.7</v>
      </c>
      <c r="S474" s="679">
        <v>88</v>
      </c>
      <c r="T474" s="678">
        <v>158</v>
      </c>
      <c r="U474" s="694">
        <f t="shared" si="179"/>
        <v>577517</v>
      </c>
      <c r="V474" s="698">
        <f t="shared" si="180"/>
        <v>602301</v>
      </c>
      <c r="W474" s="679"/>
      <c r="X474" s="678"/>
      <c r="Y474" s="679"/>
      <c r="Z474" s="678"/>
      <c r="AA474" s="679"/>
      <c r="AB474" s="678"/>
      <c r="AC474" s="679"/>
      <c r="AD474" s="678"/>
      <c r="AE474" s="694">
        <f t="shared" si="181"/>
        <v>0</v>
      </c>
      <c r="AF474" s="695">
        <f t="shared" si="201"/>
        <v>0</v>
      </c>
      <c r="AG474" s="696">
        <f t="shared" si="182"/>
        <v>0</v>
      </c>
      <c r="AH474" s="697">
        <f t="shared" si="202"/>
        <v>0</v>
      </c>
      <c r="AI474" s="679"/>
      <c r="AJ474" s="678"/>
      <c r="AK474" s="694">
        <f t="shared" si="183"/>
        <v>0</v>
      </c>
      <c r="AL474" s="698">
        <f t="shared" si="184"/>
        <v>0</v>
      </c>
      <c r="AM474" s="679"/>
      <c r="AN474" s="678"/>
      <c r="AO474" s="679">
        <v>43779</v>
      </c>
      <c r="AP474" s="678">
        <v>46277</v>
      </c>
      <c r="AQ474" s="679">
        <v>17258</v>
      </c>
      <c r="AR474" s="678">
        <v>17504</v>
      </c>
      <c r="AS474" s="679">
        <v>46105</v>
      </c>
      <c r="AT474" s="678">
        <v>47555</v>
      </c>
      <c r="AU474" s="699">
        <f t="shared" ref="AU474:AU504" si="204">SUM(AM474,AO474,AQ474,AS474)</f>
        <v>107142</v>
      </c>
      <c r="AV474" s="695">
        <f t="shared" ref="AV474:AV504" si="205">+AU474/24</f>
        <v>4464.25</v>
      </c>
      <c r="AW474" s="696">
        <f t="shared" ref="AW474:AW504" si="206">SUM(AN474,AP474,AR474,AT474)</f>
        <v>111336</v>
      </c>
      <c r="AX474" s="697">
        <f t="shared" ref="AX474:AX504" si="207">+AW474/24</f>
        <v>4639</v>
      </c>
      <c r="AY474" s="700">
        <f t="shared" si="185"/>
        <v>23714.816666666666</v>
      </c>
      <c r="AZ474" s="697">
        <f t="shared" si="186"/>
        <v>24715.7</v>
      </c>
      <c r="BA474" s="680"/>
    </row>
    <row r="475" spans="1:53">
      <c r="A475" s="159" t="s">
        <v>759</v>
      </c>
      <c r="B475" s="160" t="s">
        <v>762</v>
      </c>
      <c r="C475" s="171">
        <v>217819</v>
      </c>
      <c r="D475" s="163">
        <v>3</v>
      </c>
      <c r="E475" s="148" t="s">
        <v>393</v>
      </c>
      <c r="F475" s="149"/>
      <c r="G475" s="679"/>
      <c r="H475" s="678"/>
      <c r="I475" s="679">
        <v>131350</v>
      </c>
      <c r="J475" s="678">
        <v>132430</v>
      </c>
      <c r="K475" s="679">
        <v>14310</v>
      </c>
      <c r="L475" s="678">
        <v>12739</v>
      </c>
      <c r="M475" s="679">
        <v>138079</v>
      </c>
      <c r="N475" s="678">
        <v>144192</v>
      </c>
      <c r="O475" s="694">
        <f t="shared" si="177"/>
        <v>283739</v>
      </c>
      <c r="P475" s="695">
        <f t="shared" si="193"/>
        <v>9457.9666666666672</v>
      </c>
      <c r="Q475" s="696">
        <f t="shared" si="178"/>
        <v>289361</v>
      </c>
      <c r="R475" s="697">
        <f t="shared" si="203"/>
        <v>9645.3666666666668</v>
      </c>
      <c r="S475" s="679"/>
      <c r="T475" s="678">
        <v>315</v>
      </c>
      <c r="U475" s="694">
        <f t="shared" si="179"/>
        <v>0</v>
      </c>
      <c r="V475" s="698">
        <f t="shared" si="180"/>
        <v>289361</v>
      </c>
      <c r="W475" s="679"/>
      <c r="X475" s="678"/>
      <c r="Y475" s="679"/>
      <c r="Z475" s="678"/>
      <c r="AA475" s="679"/>
      <c r="AB475" s="678"/>
      <c r="AC475" s="679"/>
      <c r="AD475" s="678"/>
      <c r="AE475" s="694">
        <f t="shared" si="181"/>
        <v>0</v>
      </c>
      <c r="AF475" s="695">
        <f t="shared" si="201"/>
        <v>0</v>
      </c>
      <c r="AG475" s="696">
        <f t="shared" si="182"/>
        <v>0</v>
      </c>
      <c r="AH475" s="697">
        <f t="shared" si="202"/>
        <v>0</v>
      </c>
      <c r="AI475" s="679"/>
      <c r="AJ475" s="678"/>
      <c r="AK475" s="694">
        <f t="shared" si="183"/>
        <v>0</v>
      </c>
      <c r="AL475" s="698">
        <f t="shared" si="184"/>
        <v>0</v>
      </c>
      <c r="AM475" s="679"/>
      <c r="AN475" s="678"/>
      <c r="AO475" s="679">
        <v>6166</v>
      </c>
      <c r="AP475" s="678">
        <v>6912</v>
      </c>
      <c r="AQ475" s="679">
        <v>5732</v>
      </c>
      <c r="AR475" s="678">
        <v>5032</v>
      </c>
      <c r="AS475" s="679">
        <v>6973</v>
      </c>
      <c r="AT475" s="678">
        <v>6675</v>
      </c>
      <c r="AU475" s="699">
        <f t="shared" si="204"/>
        <v>18871</v>
      </c>
      <c r="AV475" s="695">
        <f t="shared" si="205"/>
        <v>786.29166666666663</v>
      </c>
      <c r="AW475" s="696">
        <f t="shared" si="206"/>
        <v>18619</v>
      </c>
      <c r="AX475" s="697">
        <f t="shared" si="207"/>
        <v>775.79166666666663</v>
      </c>
      <c r="AY475" s="700">
        <f t="shared" si="185"/>
        <v>10244.258333333333</v>
      </c>
      <c r="AZ475" s="697">
        <f t="shared" si="186"/>
        <v>10421.158333333333</v>
      </c>
      <c r="BA475" s="680"/>
    </row>
    <row r="476" spans="1:53">
      <c r="A476" s="159" t="s">
        <v>759</v>
      </c>
      <c r="B476" s="160" t="s">
        <v>763</v>
      </c>
      <c r="C476" s="171">
        <v>218964</v>
      </c>
      <c r="D476" s="163">
        <v>3</v>
      </c>
      <c r="E476" s="148" t="s">
        <v>393</v>
      </c>
      <c r="F476" s="149"/>
      <c r="G476" s="679"/>
      <c r="H476" s="678"/>
      <c r="I476" s="679">
        <v>66170</v>
      </c>
      <c r="J476" s="678">
        <v>66275</v>
      </c>
      <c r="K476" s="679">
        <v>6745</v>
      </c>
      <c r="L476" s="678">
        <v>6624</v>
      </c>
      <c r="M476" s="679">
        <v>71720.5</v>
      </c>
      <c r="N476" s="678">
        <v>71048</v>
      </c>
      <c r="O476" s="694">
        <f t="shared" si="177"/>
        <v>144635.5</v>
      </c>
      <c r="P476" s="695">
        <f t="shared" si="193"/>
        <v>4821.1833333333334</v>
      </c>
      <c r="Q476" s="696">
        <f t="shared" si="178"/>
        <v>143947</v>
      </c>
      <c r="R476" s="697">
        <f t="shared" si="203"/>
        <v>4798.2333333333336</v>
      </c>
      <c r="S476" s="679">
        <v>1066</v>
      </c>
      <c r="T476" s="678">
        <v>1371</v>
      </c>
      <c r="U476" s="694">
        <f t="shared" si="179"/>
        <v>144635.5</v>
      </c>
      <c r="V476" s="698">
        <f t="shared" si="180"/>
        <v>143947</v>
      </c>
      <c r="W476" s="679"/>
      <c r="X476" s="678"/>
      <c r="Y476" s="679"/>
      <c r="Z476" s="678"/>
      <c r="AA476" s="679"/>
      <c r="AB476" s="678"/>
      <c r="AC476" s="679"/>
      <c r="AD476" s="678"/>
      <c r="AE476" s="694">
        <f t="shared" si="181"/>
        <v>0</v>
      </c>
      <c r="AF476" s="695">
        <f t="shared" si="201"/>
        <v>0</v>
      </c>
      <c r="AG476" s="696">
        <f t="shared" si="182"/>
        <v>0</v>
      </c>
      <c r="AH476" s="697">
        <f t="shared" si="202"/>
        <v>0</v>
      </c>
      <c r="AI476" s="679"/>
      <c r="AJ476" s="678"/>
      <c r="AK476" s="694">
        <f t="shared" si="183"/>
        <v>0</v>
      </c>
      <c r="AL476" s="698">
        <f t="shared" si="184"/>
        <v>0</v>
      </c>
      <c r="AM476" s="679"/>
      <c r="AN476" s="678"/>
      <c r="AO476" s="679">
        <v>6111</v>
      </c>
      <c r="AP476" s="678">
        <v>6466</v>
      </c>
      <c r="AQ476" s="679">
        <v>3742</v>
      </c>
      <c r="AR476" s="678">
        <v>4202</v>
      </c>
      <c r="AS476" s="679">
        <v>6745</v>
      </c>
      <c r="AT476" s="678">
        <v>7146</v>
      </c>
      <c r="AU476" s="699">
        <f t="shared" si="204"/>
        <v>16598</v>
      </c>
      <c r="AV476" s="695">
        <f t="shared" si="205"/>
        <v>691.58333333333337</v>
      </c>
      <c r="AW476" s="696">
        <f t="shared" si="206"/>
        <v>17814</v>
      </c>
      <c r="AX476" s="697">
        <f t="shared" si="207"/>
        <v>742.25</v>
      </c>
      <c r="AY476" s="700">
        <f t="shared" si="185"/>
        <v>5512.7666666666664</v>
      </c>
      <c r="AZ476" s="697">
        <f t="shared" si="186"/>
        <v>5540.4833333333336</v>
      </c>
      <c r="BA476" s="680"/>
    </row>
    <row r="477" spans="1:53">
      <c r="A477" s="159" t="s">
        <v>759</v>
      </c>
      <c r="B477" s="160" t="s">
        <v>764</v>
      </c>
      <c r="C477" s="171">
        <v>217864</v>
      </c>
      <c r="D477" s="163">
        <v>4</v>
      </c>
      <c r="E477" s="148" t="s">
        <v>393</v>
      </c>
      <c r="F477" s="149"/>
      <c r="G477" s="679"/>
      <c r="H477" s="678"/>
      <c r="I477" s="679">
        <v>36405</v>
      </c>
      <c r="J477" s="678">
        <v>37367</v>
      </c>
      <c r="K477" s="679">
        <v>5704</v>
      </c>
      <c r="L477" s="678">
        <v>5298</v>
      </c>
      <c r="M477" s="679">
        <v>39478</v>
      </c>
      <c r="N477" s="678">
        <v>40909</v>
      </c>
      <c r="O477" s="694">
        <f t="shared" si="177"/>
        <v>81587</v>
      </c>
      <c r="P477" s="695">
        <f t="shared" si="193"/>
        <v>2719.5666666666666</v>
      </c>
      <c r="Q477" s="696">
        <f t="shared" si="178"/>
        <v>83574</v>
      </c>
      <c r="R477" s="697">
        <f t="shared" si="203"/>
        <v>2785.8</v>
      </c>
      <c r="S477" s="679">
        <v>167</v>
      </c>
      <c r="T477" s="678">
        <v>203</v>
      </c>
      <c r="U477" s="694">
        <f t="shared" si="179"/>
        <v>81587</v>
      </c>
      <c r="V477" s="698">
        <f t="shared" si="180"/>
        <v>83574</v>
      </c>
      <c r="W477" s="679"/>
      <c r="X477" s="678"/>
      <c r="Y477" s="679"/>
      <c r="Z477" s="678"/>
      <c r="AA477" s="679"/>
      <c r="AB477" s="678"/>
      <c r="AC477" s="679"/>
      <c r="AD477" s="678"/>
      <c r="AE477" s="694">
        <f t="shared" si="181"/>
        <v>0</v>
      </c>
      <c r="AF477" s="695">
        <f t="shared" si="201"/>
        <v>0</v>
      </c>
      <c r="AG477" s="696">
        <f t="shared" si="182"/>
        <v>0</v>
      </c>
      <c r="AH477" s="697">
        <f t="shared" si="202"/>
        <v>0</v>
      </c>
      <c r="AI477" s="679"/>
      <c r="AJ477" s="678"/>
      <c r="AK477" s="694">
        <f t="shared" si="183"/>
        <v>0</v>
      </c>
      <c r="AL477" s="698">
        <f t="shared" si="184"/>
        <v>0</v>
      </c>
      <c r="AM477" s="679"/>
      <c r="AN477" s="678"/>
      <c r="AO477" s="679">
        <v>5659.5</v>
      </c>
      <c r="AP477" s="678">
        <v>5901</v>
      </c>
      <c r="AQ477" s="679">
        <v>4503</v>
      </c>
      <c r="AR477" s="678">
        <v>4056</v>
      </c>
      <c r="AS477" s="679">
        <v>5633</v>
      </c>
      <c r="AT477" s="678">
        <v>5633</v>
      </c>
      <c r="AU477" s="699">
        <f t="shared" si="204"/>
        <v>15795.5</v>
      </c>
      <c r="AV477" s="695">
        <f t="shared" si="205"/>
        <v>658.14583333333337</v>
      </c>
      <c r="AW477" s="696">
        <f t="shared" si="206"/>
        <v>15590</v>
      </c>
      <c r="AX477" s="697">
        <f t="shared" si="207"/>
        <v>649.58333333333337</v>
      </c>
      <c r="AY477" s="700">
        <f t="shared" si="185"/>
        <v>3377.7125000000001</v>
      </c>
      <c r="AZ477" s="697">
        <f t="shared" si="186"/>
        <v>3435.3833333333337</v>
      </c>
      <c r="BA477" s="680"/>
    </row>
    <row r="478" spans="1:53">
      <c r="A478" s="159" t="s">
        <v>759</v>
      </c>
      <c r="B478" s="160" t="s">
        <v>765</v>
      </c>
      <c r="C478" s="172">
        <v>218724</v>
      </c>
      <c r="D478" s="270">
        <v>5</v>
      </c>
      <c r="E478" s="148" t="s">
        <v>393</v>
      </c>
      <c r="F478" s="149"/>
      <c r="G478" s="679"/>
      <c r="H478" s="678"/>
      <c r="I478" s="679">
        <v>93211</v>
      </c>
      <c r="J478" s="678">
        <v>98347</v>
      </c>
      <c r="K478" s="679">
        <v>9512</v>
      </c>
      <c r="L478" s="678">
        <v>9417</v>
      </c>
      <c r="M478" s="679">
        <v>110338</v>
      </c>
      <c r="N478" s="678">
        <v>114734</v>
      </c>
      <c r="O478" s="694">
        <f t="shared" si="177"/>
        <v>213061</v>
      </c>
      <c r="P478" s="695">
        <f t="shared" si="193"/>
        <v>7102.0333333333338</v>
      </c>
      <c r="Q478" s="696">
        <f t="shared" si="178"/>
        <v>222498</v>
      </c>
      <c r="R478" s="697">
        <f t="shared" si="203"/>
        <v>7416.6</v>
      </c>
      <c r="S478" s="679">
        <v>366</v>
      </c>
      <c r="T478" s="678">
        <v>524</v>
      </c>
      <c r="U478" s="694">
        <f t="shared" si="179"/>
        <v>213061</v>
      </c>
      <c r="V478" s="698">
        <f t="shared" si="180"/>
        <v>222498</v>
      </c>
      <c r="W478" s="679"/>
      <c r="X478" s="678"/>
      <c r="Y478" s="679"/>
      <c r="Z478" s="678"/>
      <c r="AA478" s="679"/>
      <c r="AB478" s="678"/>
      <c r="AC478" s="679"/>
      <c r="AD478" s="678"/>
      <c r="AE478" s="694">
        <f t="shared" si="181"/>
        <v>0</v>
      </c>
      <c r="AF478" s="695">
        <f t="shared" si="201"/>
        <v>0</v>
      </c>
      <c r="AG478" s="696">
        <f t="shared" si="182"/>
        <v>0</v>
      </c>
      <c r="AH478" s="697">
        <f t="shared" si="202"/>
        <v>0</v>
      </c>
      <c r="AI478" s="679"/>
      <c r="AJ478" s="678"/>
      <c r="AK478" s="694">
        <f t="shared" si="183"/>
        <v>0</v>
      </c>
      <c r="AL478" s="698">
        <f t="shared" si="184"/>
        <v>0</v>
      </c>
      <c r="AM478" s="679"/>
      <c r="AN478" s="678"/>
      <c r="AO478" s="679">
        <v>2392</v>
      </c>
      <c r="AP478" s="678">
        <v>2693</v>
      </c>
      <c r="AQ478" s="679">
        <v>2349</v>
      </c>
      <c r="AR478" s="678">
        <v>2446</v>
      </c>
      <c r="AS478" s="679">
        <v>2812</v>
      </c>
      <c r="AT478" s="678">
        <v>2367</v>
      </c>
      <c r="AU478" s="699">
        <f t="shared" si="204"/>
        <v>7553</v>
      </c>
      <c r="AV478" s="695">
        <f t="shared" si="205"/>
        <v>314.70833333333331</v>
      </c>
      <c r="AW478" s="696">
        <f t="shared" si="206"/>
        <v>7506</v>
      </c>
      <c r="AX478" s="697">
        <f t="shared" si="207"/>
        <v>312.75</v>
      </c>
      <c r="AY478" s="700">
        <f t="shared" si="185"/>
        <v>7416.7416666666668</v>
      </c>
      <c r="AZ478" s="697">
        <f t="shared" si="186"/>
        <v>7729.35</v>
      </c>
      <c r="BA478" s="680"/>
    </row>
    <row r="479" spans="1:53">
      <c r="A479" s="159" t="s">
        <v>759</v>
      </c>
      <c r="B479" s="160" t="s">
        <v>766</v>
      </c>
      <c r="C479" s="171">
        <v>218061</v>
      </c>
      <c r="D479" s="161">
        <v>5</v>
      </c>
      <c r="E479" s="148" t="s">
        <v>393</v>
      </c>
      <c r="F479" s="149"/>
      <c r="G479" s="679"/>
      <c r="H479" s="678"/>
      <c r="I479" s="679">
        <v>42609</v>
      </c>
      <c r="J479" s="678">
        <v>43833</v>
      </c>
      <c r="K479" s="679">
        <v>5054</v>
      </c>
      <c r="L479" s="678">
        <v>4659</v>
      </c>
      <c r="M479" s="679">
        <v>47479</v>
      </c>
      <c r="N479" s="678">
        <v>50145</v>
      </c>
      <c r="O479" s="694">
        <f t="shared" si="177"/>
        <v>95142</v>
      </c>
      <c r="P479" s="695">
        <f t="shared" si="193"/>
        <v>3171.4</v>
      </c>
      <c r="Q479" s="696">
        <f t="shared" si="178"/>
        <v>98637</v>
      </c>
      <c r="R479" s="697">
        <f t="shared" si="203"/>
        <v>3287.9</v>
      </c>
      <c r="S479" s="679">
        <v>483</v>
      </c>
      <c r="T479" s="678">
        <v>422</v>
      </c>
      <c r="U479" s="694">
        <f t="shared" si="179"/>
        <v>95142</v>
      </c>
      <c r="V479" s="698">
        <f t="shared" si="180"/>
        <v>98637</v>
      </c>
      <c r="W479" s="679"/>
      <c r="X479" s="678"/>
      <c r="Y479" s="679"/>
      <c r="Z479" s="678"/>
      <c r="AA479" s="679"/>
      <c r="AB479" s="678"/>
      <c r="AC479" s="679"/>
      <c r="AD479" s="678"/>
      <c r="AE479" s="694">
        <f t="shared" si="181"/>
        <v>0</v>
      </c>
      <c r="AF479" s="695">
        <f t="shared" si="201"/>
        <v>0</v>
      </c>
      <c r="AG479" s="696">
        <f t="shared" si="182"/>
        <v>0</v>
      </c>
      <c r="AH479" s="697">
        <f t="shared" si="202"/>
        <v>0</v>
      </c>
      <c r="AI479" s="679"/>
      <c r="AJ479" s="678"/>
      <c r="AK479" s="694">
        <f t="shared" si="183"/>
        <v>0</v>
      </c>
      <c r="AL479" s="698">
        <f t="shared" si="184"/>
        <v>0</v>
      </c>
      <c r="AM479" s="679"/>
      <c r="AN479" s="678"/>
      <c r="AO479" s="679">
        <v>1736</v>
      </c>
      <c r="AP479" s="678">
        <v>1409</v>
      </c>
      <c r="AQ479" s="679">
        <v>1752</v>
      </c>
      <c r="AR479" s="678">
        <v>1665</v>
      </c>
      <c r="AS479" s="679">
        <v>2178</v>
      </c>
      <c r="AT479" s="678">
        <v>1292</v>
      </c>
      <c r="AU479" s="699">
        <f t="shared" si="204"/>
        <v>5666</v>
      </c>
      <c r="AV479" s="695">
        <f t="shared" si="205"/>
        <v>236.08333333333334</v>
      </c>
      <c r="AW479" s="696">
        <f t="shared" si="206"/>
        <v>4366</v>
      </c>
      <c r="AX479" s="697">
        <f t="shared" si="207"/>
        <v>181.91666666666666</v>
      </c>
      <c r="AY479" s="700">
        <f t="shared" si="185"/>
        <v>3407.4833333333336</v>
      </c>
      <c r="AZ479" s="697">
        <f t="shared" si="186"/>
        <v>3469.8166666666666</v>
      </c>
      <c r="BA479" s="680"/>
    </row>
    <row r="480" spans="1:53">
      <c r="A480" s="159" t="s">
        <v>759</v>
      </c>
      <c r="B480" s="540" t="s">
        <v>767</v>
      </c>
      <c r="C480" s="541">
        <v>218229</v>
      </c>
      <c r="D480" s="542">
        <v>6</v>
      </c>
      <c r="E480" s="148" t="s">
        <v>393</v>
      </c>
      <c r="F480" s="149"/>
      <c r="G480" s="679"/>
      <c r="H480" s="678"/>
      <c r="I480" s="679">
        <v>30259.5</v>
      </c>
      <c r="J480" s="678">
        <v>32853</v>
      </c>
      <c r="K480" s="679">
        <v>3825</v>
      </c>
      <c r="L480" s="678">
        <v>3830</v>
      </c>
      <c r="M480" s="679">
        <v>35078</v>
      </c>
      <c r="N480" s="678">
        <v>39417</v>
      </c>
      <c r="O480" s="694">
        <f t="shared" si="177"/>
        <v>69162.5</v>
      </c>
      <c r="P480" s="695">
        <f t="shared" si="193"/>
        <v>2305.4166666666665</v>
      </c>
      <c r="Q480" s="696">
        <f t="shared" si="178"/>
        <v>76100</v>
      </c>
      <c r="R480" s="697">
        <f t="shared" si="203"/>
        <v>2536.6666666666665</v>
      </c>
      <c r="S480" s="679">
        <v>215</v>
      </c>
      <c r="T480" s="678">
        <v>162</v>
      </c>
      <c r="U480" s="694">
        <f t="shared" si="179"/>
        <v>69162.5</v>
      </c>
      <c r="V480" s="698">
        <f t="shared" si="180"/>
        <v>76100</v>
      </c>
      <c r="W480" s="679"/>
      <c r="X480" s="678"/>
      <c r="Y480" s="679"/>
      <c r="Z480" s="678"/>
      <c r="AA480" s="679"/>
      <c r="AB480" s="678"/>
      <c r="AC480" s="679"/>
      <c r="AD480" s="678"/>
      <c r="AE480" s="694">
        <f t="shared" si="181"/>
        <v>0</v>
      </c>
      <c r="AF480" s="695">
        <f t="shared" si="201"/>
        <v>0</v>
      </c>
      <c r="AG480" s="696">
        <f t="shared" si="182"/>
        <v>0</v>
      </c>
      <c r="AH480" s="697">
        <f t="shared" si="202"/>
        <v>0</v>
      </c>
      <c r="AI480" s="679"/>
      <c r="AJ480" s="678"/>
      <c r="AK480" s="694">
        <f t="shared" si="183"/>
        <v>0</v>
      </c>
      <c r="AL480" s="698">
        <f t="shared" si="184"/>
        <v>0</v>
      </c>
      <c r="AM480" s="679"/>
      <c r="AN480" s="678"/>
      <c r="AO480" s="679">
        <v>357</v>
      </c>
      <c r="AP480" s="678">
        <v>378</v>
      </c>
      <c r="AQ480" s="679">
        <v>867</v>
      </c>
      <c r="AR480" s="678">
        <v>846</v>
      </c>
      <c r="AS480" s="679">
        <v>402</v>
      </c>
      <c r="AT480" s="678">
        <v>210</v>
      </c>
      <c r="AU480" s="699">
        <f t="shared" si="204"/>
        <v>1626</v>
      </c>
      <c r="AV480" s="695">
        <f t="shared" si="205"/>
        <v>67.75</v>
      </c>
      <c r="AW480" s="696">
        <f t="shared" si="206"/>
        <v>1434</v>
      </c>
      <c r="AX480" s="697">
        <f t="shared" si="207"/>
        <v>59.75</v>
      </c>
      <c r="AY480" s="700">
        <f t="shared" si="185"/>
        <v>2373.1666666666665</v>
      </c>
      <c r="AZ480" s="697">
        <f t="shared" si="186"/>
        <v>2596.4166666666665</v>
      </c>
      <c r="BA480" s="680"/>
    </row>
    <row r="481" spans="1:53">
      <c r="A481" s="159" t="s">
        <v>759</v>
      </c>
      <c r="B481" s="160" t="s">
        <v>768</v>
      </c>
      <c r="C481" s="172">
        <v>218733</v>
      </c>
      <c r="D481" s="162">
        <v>5</v>
      </c>
      <c r="E481" s="148" t="s">
        <v>393</v>
      </c>
      <c r="F481" s="149"/>
      <c r="G481" s="679"/>
      <c r="H481" s="678"/>
      <c r="I481" s="679">
        <v>58657</v>
      </c>
      <c r="J481" s="678">
        <v>55390</v>
      </c>
      <c r="K481" s="679">
        <v>7531</v>
      </c>
      <c r="L481" s="678">
        <v>7080</v>
      </c>
      <c r="M481" s="679">
        <v>59286</v>
      </c>
      <c r="N481" s="678">
        <v>56156</v>
      </c>
      <c r="O481" s="694">
        <f t="shared" si="177"/>
        <v>125474</v>
      </c>
      <c r="P481" s="695">
        <f t="shared" si="193"/>
        <v>4182.4666666666662</v>
      </c>
      <c r="Q481" s="696">
        <f t="shared" si="178"/>
        <v>118626</v>
      </c>
      <c r="R481" s="697">
        <f t="shared" si="203"/>
        <v>3954.2</v>
      </c>
      <c r="S481" s="679">
        <v>156</v>
      </c>
      <c r="T481" s="678">
        <v>27</v>
      </c>
      <c r="U481" s="694">
        <f t="shared" si="179"/>
        <v>125474</v>
      </c>
      <c r="V481" s="698">
        <f t="shared" si="180"/>
        <v>118626</v>
      </c>
      <c r="W481" s="679"/>
      <c r="X481" s="678"/>
      <c r="Y481" s="679"/>
      <c r="Z481" s="678"/>
      <c r="AA481" s="679"/>
      <c r="AB481" s="678"/>
      <c r="AC481" s="679"/>
      <c r="AD481" s="678"/>
      <c r="AE481" s="694">
        <f t="shared" si="181"/>
        <v>0</v>
      </c>
      <c r="AF481" s="695">
        <f t="shared" si="201"/>
        <v>0</v>
      </c>
      <c r="AG481" s="696">
        <f t="shared" si="182"/>
        <v>0</v>
      </c>
      <c r="AH481" s="697">
        <f t="shared" si="202"/>
        <v>0</v>
      </c>
      <c r="AI481" s="679"/>
      <c r="AJ481" s="678"/>
      <c r="AK481" s="694">
        <f t="shared" si="183"/>
        <v>0</v>
      </c>
      <c r="AL481" s="698">
        <f t="shared" si="184"/>
        <v>0</v>
      </c>
      <c r="AM481" s="679"/>
      <c r="AN481" s="678"/>
      <c r="AO481" s="679">
        <v>4655</v>
      </c>
      <c r="AP481" s="678">
        <v>4773</v>
      </c>
      <c r="AQ481" s="679">
        <v>2957</v>
      </c>
      <c r="AR481" s="678">
        <v>2529</v>
      </c>
      <c r="AS481" s="679">
        <v>4758</v>
      </c>
      <c r="AT481" s="678">
        <v>4391</v>
      </c>
      <c r="AU481" s="699">
        <f t="shared" si="204"/>
        <v>12370</v>
      </c>
      <c r="AV481" s="695">
        <f t="shared" si="205"/>
        <v>515.41666666666663</v>
      </c>
      <c r="AW481" s="696">
        <f t="shared" si="206"/>
        <v>11693</v>
      </c>
      <c r="AX481" s="697">
        <f t="shared" si="207"/>
        <v>487.20833333333331</v>
      </c>
      <c r="AY481" s="700">
        <f t="shared" si="185"/>
        <v>4697.8833333333332</v>
      </c>
      <c r="AZ481" s="697">
        <f t="shared" si="186"/>
        <v>4441.4083333333328</v>
      </c>
      <c r="BA481" s="680"/>
    </row>
    <row r="482" spans="1:53">
      <c r="A482" s="159" t="s">
        <v>759</v>
      </c>
      <c r="B482" s="160" t="s">
        <v>769</v>
      </c>
      <c r="C482" s="172">
        <v>218645</v>
      </c>
      <c r="D482" s="162">
        <v>6</v>
      </c>
      <c r="E482" s="148" t="s">
        <v>393</v>
      </c>
      <c r="F482" s="149"/>
      <c r="G482" s="679"/>
      <c r="H482" s="678"/>
      <c r="I482" s="679">
        <v>36699</v>
      </c>
      <c r="J482" s="678">
        <v>36364</v>
      </c>
      <c r="K482" s="679">
        <v>4664</v>
      </c>
      <c r="L482" s="678">
        <v>4509</v>
      </c>
      <c r="M482" s="679">
        <v>40140</v>
      </c>
      <c r="N482" s="678">
        <v>41466</v>
      </c>
      <c r="O482" s="694">
        <f t="shared" si="177"/>
        <v>81503</v>
      </c>
      <c r="P482" s="695">
        <f t="shared" si="193"/>
        <v>2716.7666666666669</v>
      </c>
      <c r="Q482" s="696">
        <f t="shared" si="178"/>
        <v>82339</v>
      </c>
      <c r="R482" s="697">
        <f t="shared" si="203"/>
        <v>2744.6333333333332</v>
      </c>
      <c r="S482" s="679">
        <v>1113</v>
      </c>
      <c r="T482" s="678">
        <v>945</v>
      </c>
      <c r="U482" s="694">
        <f t="shared" si="179"/>
        <v>81503</v>
      </c>
      <c r="V482" s="698">
        <f t="shared" si="180"/>
        <v>82339</v>
      </c>
      <c r="W482" s="679"/>
      <c r="X482" s="678"/>
      <c r="Y482" s="679"/>
      <c r="Z482" s="678"/>
      <c r="AA482" s="679"/>
      <c r="AB482" s="678"/>
      <c r="AC482" s="679"/>
      <c r="AD482" s="678"/>
      <c r="AE482" s="694">
        <f t="shared" si="181"/>
        <v>0</v>
      </c>
      <c r="AF482" s="695">
        <f t="shared" si="201"/>
        <v>0</v>
      </c>
      <c r="AG482" s="696">
        <f t="shared" si="182"/>
        <v>0</v>
      </c>
      <c r="AH482" s="697">
        <f t="shared" si="202"/>
        <v>0</v>
      </c>
      <c r="AI482" s="679"/>
      <c r="AJ482" s="678"/>
      <c r="AK482" s="694">
        <f t="shared" si="183"/>
        <v>0</v>
      </c>
      <c r="AL482" s="698">
        <f t="shared" si="184"/>
        <v>0</v>
      </c>
      <c r="AM482" s="679"/>
      <c r="AN482" s="678"/>
      <c r="AO482" s="679">
        <v>512</v>
      </c>
      <c r="AP482" s="678">
        <v>407</v>
      </c>
      <c r="AQ482" s="679">
        <v>380</v>
      </c>
      <c r="AR482" s="678">
        <v>252</v>
      </c>
      <c r="AS482" s="679">
        <v>598</v>
      </c>
      <c r="AT482" s="678">
        <v>337</v>
      </c>
      <c r="AU482" s="699">
        <f t="shared" si="204"/>
        <v>1490</v>
      </c>
      <c r="AV482" s="695">
        <f t="shared" si="205"/>
        <v>62.083333333333336</v>
      </c>
      <c r="AW482" s="696">
        <f t="shared" si="206"/>
        <v>996</v>
      </c>
      <c r="AX482" s="697">
        <f t="shared" si="207"/>
        <v>41.5</v>
      </c>
      <c r="AY482" s="700">
        <f t="shared" si="185"/>
        <v>2778.8500000000004</v>
      </c>
      <c r="AZ482" s="697">
        <f t="shared" si="186"/>
        <v>2786.1333333333332</v>
      </c>
      <c r="BA482" s="680"/>
    </row>
    <row r="483" spans="1:53">
      <c r="A483" s="159" t="s">
        <v>759</v>
      </c>
      <c r="B483" s="160" t="s">
        <v>770</v>
      </c>
      <c r="C483" s="171">
        <v>218742</v>
      </c>
      <c r="D483" s="161">
        <v>6</v>
      </c>
      <c r="E483" s="148" t="s">
        <v>393</v>
      </c>
      <c r="F483" s="149"/>
      <c r="G483" s="679"/>
      <c r="H483" s="678"/>
      <c r="I483" s="679">
        <v>61034</v>
      </c>
      <c r="J483" s="678">
        <v>62983</v>
      </c>
      <c r="K483" s="679">
        <v>8209</v>
      </c>
      <c r="L483" s="678">
        <v>7583</v>
      </c>
      <c r="M483" s="679">
        <v>67814</v>
      </c>
      <c r="N483" s="678">
        <v>72035</v>
      </c>
      <c r="O483" s="694">
        <f t="shared" si="177"/>
        <v>137057</v>
      </c>
      <c r="P483" s="695">
        <f t="shared" si="193"/>
        <v>4568.5666666666666</v>
      </c>
      <c r="Q483" s="696">
        <f t="shared" si="178"/>
        <v>142601</v>
      </c>
      <c r="R483" s="697">
        <f t="shared" si="203"/>
        <v>4753.3666666666668</v>
      </c>
      <c r="S483" s="679">
        <v>739</v>
      </c>
      <c r="T483" s="678">
        <v>1298</v>
      </c>
      <c r="U483" s="694">
        <f t="shared" si="179"/>
        <v>137057</v>
      </c>
      <c r="V483" s="698">
        <f t="shared" si="180"/>
        <v>142601</v>
      </c>
      <c r="W483" s="679"/>
      <c r="X483" s="678"/>
      <c r="Y483" s="679"/>
      <c r="Z483" s="678"/>
      <c r="AA483" s="679"/>
      <c r="AB483" s="678"/>
      <c r="AC483" s="679"/>
      <c r="AD483" s="678"/>
      <c r="AE483" s="694">
        <f t="shared" si="181"/>
        <v>0</v>
      </c>
      <c r="AF483" s="695">
        <f t="shared" si="201"/>
        <v>0</v>
      </c>
      <c r="AG483" s="696">
        <f t="shared" si="182"/>
        <v>0</v>
      </c>
      <c r="AH483" s="697">
        <f t="shared" si="202"/>
        <v>0</v>
      </c>
      <c r="AI483" s="679"/>
      <c r="AJ483" s="678"/>
      <c r="AK483" s="694">
        <f t="shared" si="183"/>
        <v>0</v>
      </c>
      <c r="AL483" s="698">
        <f t="shared" si="184"/>
        <v>0</v>
      </c>
      <c r="AM483" s="679"/>
      <c r="AN483" s="678"/>
      <c r="AO483" s="679">
        <v>360</v>
      </c>
      <c r="AP483" s="678">
        <v>516</v>
      </c>
      <c r="AQ483" s="679">
        <v>564</v>
      </c>
      <c r="AR483" s="678">
        <v>447</v>
      </c>
      <c r="AS483" s="679">
        <v>232</v>
      </c>
      <c r="AT483" s="678">
        <v>382</v>
      </c>
      <c r="AU483" s="699">
        <f t="shared" si="204"/>
        <v>1156</v>
      </c>
      <c r="AV483" s="695">
        <f t="shared" si="205"/>
        <v>48.166666666666664</v>
      </c>
      <c r="AW483" s="696">
        <f t="shared" si="206"/>
        <v>1345</v>
      </c>
      <c r="AX483" s="697">
        <f t="shared" si="207"/>
        <v>56.041666666666664</v>
      </c>
      <c r="AY483" s="700">
        <f t="shared" si="185"/>
        <v>4616.7333333333336</v>
      </c>
      <c r="AZ483" s="697">
        <f t="shared" si="186"/>
        <v>4809.4083333333338</v>
      </c>
      <c r="BA483" s="680"/>
    </row>
    <row r="484" spans="1:53">
      <c r="A484" s="159" t="s">
        <v>759</v>
      </c>
      <c r="B484" s="543" t="s">
        <v>771</v>
      </c>
      <c r="C484" s="541">
        <v>218654</v>
      </c>
      <c r="D484" s="542">
        <v>6</v>
      </c>
      <c r="E484" s="148" t="s">
        <v>393</v>
      </c>
      <c r="F484" s="149"/>
      <c r="G484" s="679"/>
      <c r="H484" s="678"/>
      <c r="I484" s="679">
        <v>15338</v>
      </c>
      <c r="J484" s="678">
        <v>17387</v>
      </c>
      <c r="K484" s="679">
        <v>2454</v>
      </c>
      <c r="L484" s="678">
        <v>2446</v>
      </c>
      <c r="M484" s="679">
        <v>17859</v>
      </c>
      <c r="N484" s="678">
        <v>21628</v>
      </c>
      <c r="O484" s="694">
        <f t="shared" si="177"/>
        <v>35651</v>
      </c>
      <c r="P484" s="695">
        <f t="shared" si="193"/>
        <v>1188.3666666666666</v>
      </c>
      <c r="Q484" s="696">
        <f t="shared" si="178"/>
        <v>41461</v>
      </c>
      <c r="R484" s="697">
        <f t="shared" si="203"/>
        <v>1382.0333333333333</v>
      </c>
      <c r="S484" s="679">
        <v>332</v>
      </c>
      <c r="T484" s="678">
        <v>28</v>
      </c>
      <c r="U484" s="694">
        <f t="shared" si="179"/>
        <v>35651</v>
      </c>
      <c r="V484" s="698">
        <f t="shared" si="180"/>
        <v>41461</v>
      </c>
      <c r="W484" s="679"/>
      <c r="X484" s="678"/>
      <c r="Y484" s="679"/>
      <c r="Z484" s="678"/>
      <c r="AA484" s="679"/>
      <c r="AB484" s="678"/>
      <c r="AC484" s="679"/>
      <c r="AD484" s="678"/>
      <c r="AE484" s="694">
        <f t="shared" si="181"/>
        <v>0</v>
      </c>
      <c r="AF484" s="695">
        <f t="shared" si="201"/>
        <v>0</v>
      </c>
      <c r="AG484" s="696">
        <f t="shared" si="182"/>
        <v>0</v>
      </c>
      <c r="AH484" s="697">
        <f t="shared" si="202"/>
        <v>0</v>
      </c>
      <c r="AI484" s="679"/>
      <c r="AJ484" s="678"/>
      <c r="AK484" s="694">
        <f t="shared" si="183"/>
        <v>0</v>
      </c>
      <c r="AL484" s="698">
        <f t="shared" si="184"/>
        <v>0</v>
      </c>
      <c r="AM484" s="679"/>
      <c r="AN484" s="678"/>
      <c r="AO484" s="679"/>
      <c r="AP484" s="678"/>
      <c r="AQ484" s="679"/>
      <c r="AR484" s="678"/>
      <c r="AS484" s="679"/>
      <c r="AT484" s="678"/>
      <c r="AU484" s="699">
        <f t="shared" si="204"/>
        <v>0</v>
      </c>
      <c r="AV484" s="695">
        <f t="shared" si="205"/>
        <v>0</v>
      </c>
      <c r="AW484" s="696">
        <f t="shared" si="206"/>
        <v>0</v>
      </c>
      <c r="AX484" s="697">
        <f t="shared" si="207"/>
        <v>0</v>
      </c>
      <c r="AY484" s="700">
        <f t="shared" si="185"/>
        <v>1188.3666666666666</v>
      </c>
      <c r="AZ484" s="697">
        <f t="shared" si="186"/>
        <v>1382.0333333333333</v>
      </c>
      <c r="BA484" s="680"/>
    </row>
    <row r="485" spans="1:53">
      <c r="A485" s="159" t="s">
        <v>759</v>
      </c>
      <c r="B485" s="159" t="s">
        <v>772</v>
      </c>
      <c r="C485" s="171">
        <v>218113</v>
      </c>
      <c r="D485" s="161">
        <v>8</v>
      </c>
      <c r="E485" s="148" t="s">
        <v>393</v>
      </c>
      <c r="F485" s="149"/>
      <c r="G485" s="679"/>
      <c r="H485" s="678"/>
      <c r="I485" s="679">
        <v>127396.35</v>
      </c>
      <c r="J485" s="678">
        <v>131816</v>
      </c>
      <c r="K485" s="679">
        <v>48058.9</v>
      </c>
      <c r="L485" s="678">
        <v>56867</v>
      </c>
      <c r="M485" s="679">
        <v>151098.14000000001</v>
      </c>
      <c r="N485" s="678">
        <v>159037</v>
      </c>
      <c r="O485" s="694">
        <f t="shared" si="177"/>
        <v>326553.39</v>
      </c>
      <c r="P485" s="695">
        <f t="shared" si="193"/>
        <v>10885.113000000001</v>
      </c>
      <c r="Q485" s="696">
        <f t="shared" si="178"/>
        <v>347720</v>
      </c>
      <c r="R485" s="697">
        <f t="shared" si="203"/>
        <v>11590.666666666666</v>
      </c>
      <c r="S485" s="679">
        <v>4846</v>
      </c>
      <c r="T485" s="678">
        <v>6985</v>
      </c>
      <c r="U485" s="694">
        <f t="shared" si="179"/>
        <v>326553.39</v>
      </c>
      <c r="V485" s="698">
        <f t="shared" si="180"/>
        <v>347720</v>
      </c>
      <c r="W485" s="679"/>
      <c r="X485" s="678"/>
      <c r="Y485" s="679"/>
      <c r="Z485" s="678"/>
      <c r="AA485" s="679"/>
      <c r="AB485" s="678"/>
      <c r="AC485" s="679"/>
      <c r="AD485" s="678"/>
      <c r="AE485" s="694">
        <f t="shared" si="181"/>
        <v>0</v>
      </c>
      <c r="AF485" s="695">
        <f t="shared" si="201"/>
        <v>0</v>
      </c>
      <c r="AG485" s="696">
        <f t="shared" si="182"/>
        <v>0</v>
      </c>
      <c r="AH485" s="697">
        <f t="shared" si="202"/>
        <v>0</v>
      </c>
      <c r="AI485" s="679"/>
      <c r="AJ485" s="678"/>
      <c r="AK485" s="694">
        <f t="shared" si="183"/>
        <v>0</v>
      </c>
      <c r="AL485" s="698">
        <f t="shared" si="184"/>
        <v>0</v>
      </c>
      <c r="AM485" s="679"/>
      <c r="AN485" s="678"/>
      <c r="AO485" s="679"/>
      <c r="AP485" s="678"/>
      <c r="AQ485" s="679"/>
      <c r="AR485" s="678"/>
      <c r="AS485" s="679"/>
      <c r="AT485" s="678"/>
      <c r="AU485" s="699">
        <f t="shared" si="204"/>
        <v>0</v>
      </c>
      <c r="AV485" s="695">
        <f t="shared" si="205"/>
        <v>0</v>
      </c>
      <c r="AW485" s="696">
        <f t="shared" si="206"/>
        <v>0</v>
      </c>
      <c r="AX485" s="697">
        <f t="shared" si="207"/>
        <v>0</v>
      </c>
      <c r="AY485" s="700">
        <f t="shared" si="185"/>
        <v>10885.113000000001</v>
      </c>
      <c r="AZ485" s="697">
        <f t="shared" si="186"/>
        <v>11590.666666666666</v>
      </c>
      <c r="BA485" s="680"/>
    </row>
    <row r="486" spans="1:53">
      <c r="A486" s="159" t="s">
        <v>759</v>
      </c>
      <c r="B486" s="159" t="s">
        <v>773</v>
      </c>
      <c r="C486" s="171">
        <v>218353</v>
      </c>
      <c r="D486" s="163">
        <v>8</v>
      </c>
      <c r="E486" s="148" t="s">
        <v>393</v>
      </c>
      <c r="F486" s="149"/>
      <c r="G486" s="679"/>
      <c r="H486" s="678"/>
      <c r="I486" s="679">
        <v>104410.07</v>
      </c>
      <c r="J486" s="678">
        <v>111470</v>
      </c>
      <c r="K486" s="679">
        <v>41868.949999999997</v>
      </c>
      <c r="L486" s="678">
        <v>48523</v>
      </c>
      <c r="M486" s="679">
        <v>118218.87</v>
      </c>
      <c r="N486" s="678">
        <v>128926</v>
      </c>
      <c r="O486" s="694">
        <f t="shared" si="177"/>
        <v>264497.89</v>
      </c>
      <c r="P486" s="695">
        <f t="shared" si="193"/>
        <v>8816.596333333333</v>
      </c>
      <c r="Q486" s="696">
        <f t="shared" si="178"/>
        <v>288919</v>
      </c>
      <c r="R486" s="697">
        <f t="shared" si="203"/>
        <v>9630.6333333333332</v>
      </c>
      <c r="S486" s="679">
        <v>1663</v>
      </c>
      <c r="T486" s="678">
        <v>2045</v>
      </c>
      <c r="U486" s="694">
        <f t="shared" si="179"/>
        <v>264497.89</v>
      </c>
      <c r="V486" s="698">
        <f t="shared" si="180"/>
        <v>288919</v>
      </c>
      <c r="W486" s="679"/>
      <c r="X486" s="678"/>
      <c r="Y486" s="679"/>
      <c r="Z486" s="678"/>
      <c r="AA486" s="679"/>
      <c r="AB486" s="678"/>
      <c r="AC486" s="679"/>
      <c r="AD486" s="678"/>
      <c r="AE486" s="694">
        <f t="shared" si="181"/>
        <v>0</v>
      </c>
      <c r="AF486" s="695">
        <f t="shared" si="201"/>
        <v>0</v>
      </c>
      <c r="AG486" s="696">
        <f t="shared" si="182"/>
        <v>0</v>
      </c>
      <c r="AH486" s="697">
        <f t="shared" si="202"/>
        <v>0</v>
      </c>
      <c r="AI486" s="679"/>
      <c r="AJ486" s="678"/>
      <c r="AK486" s="694">
        <f t="shared" si="183"/>
        <v>0</v>
      </c>
      <c r="AL486" s="698">
        <f t="shared" si="184"/>
        <v>0</v>
      </c>
      <c r="AM486" s="679"/>
      <c r="AN486" s="678"/>
      <c r="AO486" s="679"/>
      <c r="AP486" s="678"/>
      <c r="AQ486" s="679"/>
      <c r="AR486" s="678"/>
      <c r="AS486" s="679"/>
      <c r="AT486" s="678"/>
      <c r="AU486" s="699">
        <f t="shared" si="204"/>
        <v>0</v>
      </c>
      <c r="AV486" s="695">
        <f t="shared" si="205"/>
        <v>0</v>
      </c>
      <c r="AW486" s="696">
        <f t="shared" si="206"/>
        <v>0</v>
      </c>
      <c r="AX486" s="697">
        <f t="shared" si="207"/>
        <v>0</v>
      </c>
      <c r="AY486" s="700">
        <f t="shared" si="185"/>
        <v>8816.596333333333</v>
      </c>
      <c r="AZ486" s="697">
        <f t="shared" si="186"/>
        <v>9630.6333333333332</v>
      </c>
      <c r="BA486" s="680"/>
    </row>
    <row r="487" spans="1:53">
      <c r="A487" s="159" t="s">
        <v>759</v>
      </c>
      <c r="B487" s="159" t="s">
        <v>774</v>
      </c>
      <c r="C487" s="171">
        <v>218894</v>
      </c>
      <c r="D487" s="161">
        <v>8</v>
      </c>
      <c r="E487" s="148" t="s">
        <v>393</v>
      </c>
      <c r="F487" s="149"/>
      <c r="G487" s="679"/>
      <c r="H487" s="678"/>
      <c r="I487" s="679">
        <v>113241.93</v>
      </c>
      <c r="J487" s="678">
        <v>125408</v>
      </c>
      <c r="K487" s="679">
        <v>45570.1</v>
      </c>
      <c r="L487" s="678">
        <v>57742</v>
      </c>
      <c r="M487" s="679">
        <v>128017.17</v>
      </c>
      <c r="N487" s="678">
        <v>152202</v>
      </c>
      <c r="O487" s="694">
        <f t="shared" si="177"/>
        <v>286829.2</v>
      </c>
      <c r="P487" s="695">
        <f t="shared" si="193"/>
        <v>9560.9733333333334</v>
      </c>
      <c r="Q487" s="696">
        <f t="shared" si="178"/>
        <v>335352</v>
      </c>
      <c r="R487" s="697">
        <f t="shared" si="203"/>
        <v>11178.4</v>
      </c>
      <c r="S487" s="679">
        <v>5977</v>
      </c>
      <c r="T487" s="678">
        <v>6668</v>
      </c>
      <c r="U487" s="694">
        <f t="shared" si="179"/>
        <v>286829.2</v>
      </c>
      <c r="V487" s="698">
        <f t="shared" si="180"/>
        <v>335352</v>
      </c>
      <c r="W487" s="679"/>
      <c r="X487" s="678"/>
      <c r="Y487" s="679"/>
      <c r="Z487" s="678"/>
      <c r="AA487" s="679"/>
      <c r="AB487" s="678"/>
      <c r="AC487" s="679"/>
      <c r="AD487" s="678"/>
      <c r="AE487" s="694">
        <f t="shared" si="181"/>
        <v>0</v>
      </c>
      <c r="AF487" s="695">
        <f t="shared" si="201"/>
        <v>0</v>
      </c>
      <c r="AG487" s="696">
        <f t="shared" si="182"/>
        <v>0</v>
      </c>
      <c r="AH487" s="697">
        <f t="shared" si="202"/>
        <v>0</v>
      </c>
      <c r="AI487" s="679"/>
      <c r="AJ487" s="678"/>
      <c r="AK487" s="694">
        <f t="shared" si="183"/>
        <v>0</v>
      </c>
      <c r="AL487" s="698">
        <f t="shared" si="184"/>
        <v>0</v>
      </c>
      <c r="AM487" s="679"/>
      <c r="AN487" s="678"/>
      <c r="AO487" s="679"/>
      <c r="AP487" s="678"/>
      <c r="AQ487" s="679"/>
      <c r="AR487" s="678"/>
      <c r="AS487" s="679"/>
      <c r="AT487" s="678"/>
      <c r="AU487" s="699">
        <f t="shared" si="204"/>
        <v>0</v>
      </c>
      <c r="AV487" s="695">
        <f t="shared" si="205"/>
        <v>0</v>
      </c>
      <c r="AW487" s="696">
        <f t="shared" si="206"/>
        <v>0</v>
      </c>
      <c r="AX487" s="697">
        <f t="shared" si="207"/>
        <v>0</v>
      </c>
      <c r="AY487" s="700">
        <f t="shared" si="185"/>
        <v>9560.9733333333334</v>
      </c>
      <c r="AZ487" s="697">
        <f t="shared" si="186"/>
        <v>11178.4</v>
      </c>
      <c r="BA487" s="680"/>
    </row>
    <row r="488" spans="1:53">
      <c r="A488" s="159" t="s">
        <v>759</v>
      </c>
      <c r="B488" s="159" t="s">
        <v>775</v>
      </c>
      <c r="C488" s="171">
        <v>217615</v>
      </c>
      <c r="D488" s="161">
        <v>9</v>
      </c>
      <c r="E488" s="148" t="s">
        <v>393</v>
      </c>
      <c r="F488" s="149"/>
      <c r="G488" s="679"/>
      <c r="H488" s="678"/>
      <c r="I488" s="679">
        <v>26679.67</v>
      </c>
      <c r="J488" s="678">
        <v>29894</v>
      </c>
      <c r="K488" s="679">
        <v>11818.4</v>
      </c>
      <c r="L488" s="678">
        <v>13670</v>
      </c>
      <c r="M488" s="679">
        <v>29641.65</v>
      </c>
      <c r="N488" s="678">
        <v>34611</v>
      </c>
      <c r="O488" s="694">
        <f t="shared" si="177"/>
        <v>68139.72</v>
      </c>
      <c r="P488" s="695">
        <f t="shared" si="193"/>
        <v>2271.3240000000001</v>
      </c>
      <c r="Q488" s="696">
        <f t="shared" si="178"/>
        <v>78175</v>
      </c>
      <c r="R488" s="697">
        <f t="shared" si="203"/>
        <v>2605.8333333333335</v>
      </c>
      <c r="S488" s="679">
        <v>131</v>
      </c>
      <c r="T488" s="678">
        <v>400</v>
      </c>
      <c r="U488" s="694">
        <f t="shared" si="179"/>
        <v>68139.72</v>
      </c>
      <c r="V488" s="698">
        <f t="shared" si="180"/>
        <v>78175</v>
      </c>
      <c r="W488" s="679"/>
      <c r="X488" s="678"/>
      <c r="Y488" s="679"/>
      <c r="Z488" s="678"/>
      <c r="AA488" s="679"/>
      <c r="AB488" s="678"/>
      <c r="AC488" s="679"/>
      <c r="AD488" s="678"/>
      <c r="AE488" s="694">
        <f t="shared" si="181"/>
        <v>0</v>
      </c>
      <c r="AF488" s="695">
        <f t="shared" si="201"/>
        <v>0</v>
      </c>
      <c r="AG488" s="696">
        <f t="shared" si="182"/>
        <v>0</v>
      </c>
      <c r="AH488" s="697">
        <f t="shared" si="202"/>
        <v>0</v>
      </c>
      <c r="AI488" s="679"/>
      <c r="AJ488" s="678"/>
      <c r="AK488" s="694">
        <f t="shared" si="183"/>
        <v>0</v>
      </c>
      <c r="AL488" s="698">
        <f t="shared" si="184"/>
        <v>0</v>
      </c>
      <c r="AM488" s="679"/>
      <c r="AN488" s="678"/>
      <c r="AO488" s="679"/>
      <c r="AP488" s="678"/>
      <c r="AQ488" s="679"/>
      <c r="AR488" s="678"/>
      <c r="AS488" s="679"/>
      <c r="AT488" s="678"/>
      <c r="AU488" s="699">
        <f t="shared" si="204"/>
        <v>0</v>
      </c>
      <c r="AV488" s="695">
        <f t="shared" si="205"/>
        <v>0</v>
      </c>
      <c r="AW488" s="696">
        <f t="shared" si="206"/>
        <v>0</v>
      </c>
      <c r="AX488" s="697">
        <f t="shared" si="207"/>
        <v>0</v>
      </c>
      <c r="AY488" s="700">
        <f t="shared" si="185"/>
        <v>2271.3240000000001</v>
      </c>
      <c r="AZ488" s="697">
        <f t="shared" si="186"/>
        <v>2605.8333333333335</v>
      </c>
      <c r="BA488" s="680"/>
    </row>
    <row r="489" spans="1:53">
      <c r="A489" s="159" t="s">
        <v>759</v>
      </c>
      <c r="B489" s="159" t="s">
        <v>776</v>
      </c>
      <c r="C489" s="171">
        <v>218858</v>
      </c>
      <c r="D489" s="161">
        <v>9</v>
      </c>
      <c r="E489" s="148" t="s">
        <v>393</v>
      </c>
      <c r="F489" s="149"/>
      <c r="G489" s="679"/>
      <c r="H489" s="678"/>
      <c r="I489" s="679">
        <v>29667.48</v>
      </c>
      <c r="J489" s="678">
        <v>29456</v>
      </c>
      <c r="K489" s="679">
        <v>12184.56</v>
      </c>
      <c r="L489" s="678">
        <v>14090</v>
      </c>
      <c r="M489" s="679">
        <v>30728.74</v>
      </c>
      <c r="N489" s="678">
        <v>38666</v>
      </c>
      <c r="O489" s="694">
        <f t="shared" si="177"/>
        <v>72580.78</v>
      </c>
      <c r="P489" s="695">
        <f t="shared" si="193"/>
        <v>2419.3593333333333</v>
      </c>
      <c r="Q489" s="696">
        <f t="shared" si="178"/>
        <v>82212</v>
      </c>
      <c r="R489" s="697">
        <f t="shared" si="203"/>
        <v>2740.4</v>
      </c>
      <c r="S489" s="679">
        <v>3170</v>
      </c>
      <c r="T489" s="678">
        <v>2660</v>
      </c>
      <c r="U489" s="694">
        <f t="shared" si="179"/>
        <v>72580.78</v>
      </c>
      <c r="V489" s="698">
        <f t="shared" si="180"/>
        <v>82212</v>
      </c>
      <c r="W489" s="679"/>
      <c r="X489" s="678"/>
      <c r="Y489" s="679"/>
      <c r="Z489" s="678"/>
      <c r="AA489" s="679"/>
      <c r="AB489" s="678"/>
      <c r="AC489" s="679"/>
      <c r="AD489" s="678"/>
      <c r="AE489" s="694">
        <f t="shared" si="181"/>
        <v>0</v>
      </c>
      <c r="AF489" s="695">
        <f t="shared" si="201"/>
        <v>0</v>
      </c>
      <c r="AG489" s="696">
        <f t="shared" si="182"/>
        <v>0</v>
      </c>
      <c r="AH489" s="697">
        <f t="shared" si="202"/>
        <v>0</v>
      </c>
      <c r="AI489" s="679"/>
      <c r="AJ489" s="678"/>
      <c r="AK489" s="694">
        <f t="shared" si="183"/>
        <v>0</v>
      </c>
      <c r="AL489" s="698">
        <f t="shared" si="184"/>
        <v>0</v>
      </c>
      <c r="AM489" s="679"/>
      <c r="AN489" s="678"/>
      <c r="AO489" s="679"/>
      <c r="AP489" s="678"/>
      <c r="AQ489" s="679"/>
      <c r="AR489" s="678"/>
      <c r="AS489" s="679"/>
      <c r="AT489" s="678"/>
      <c r="AU489" s="699">
        <f t="shared" si="204"/>
        <v>0</v>
      </c>
      <c r="AV489" s="695">
        <f t="shared" si="205"/>
        <v>0</v>
      </c>
      <c r="AW489" s="696">
        <f t="shared" si="206"/>
        <v>0</v>
      </c>
      <c r="AX489" s="697">
        <f t="shared" si="207"/>
        <v>0</v>
      </c>
      <c r="AY489" s="700">
        <f t="shared" si="185"/>
        <v>2419.3593333333333</v>
      </c>
      <c r="AZ489" s="697">
        <f t="shared" si="186"/>
        <v>2740.4</v>
      </c>
      <c r="BA489" s="680"/>
    </row>
    <row r="490" spans="1:53">
      <c r="A490" s="159" t="s">
        <v>759</v>
      </c>
      <c r="B490" s="159" t="s">
        <v>777</v>
      </c>
      <c r="C490" s="171">
        <v>218025</v>
      </c>
      <c r="D490" s="161">
        <v>9</v>
      </c>
      <c r="E490" s="148" t="s">
        <v>393</v>
      </c>
      <c r="F490" s="149"/>
      <c r="G490" s="679"/>
      <c r="H490" s="678"/>
      <c r="I490" s="679">
        <v>42200.79</v>
      </c>
      <c r="J490" s="678">
        <v>48796</v>
      </c>
      <c r="K490" s="679">
        <v>16454.919999999998</v>
      </c>
      <c r="L490" s="678">
        <v>21485</v>
      </c>
      <c r="M490" s="679">
        <v>49144.25</v>
      </c>
      <c r="N490" s="678">
        <v>58942</v>
      </c>
      <c r="O490" s="694">
        <f t="shared" si="177"/>
        <v>107799.95999999999</v>
      </c>
      <c r="P490" s="695">
        <f t="shared" si="193"/>
        <v>3593.3319999999999</v>
      </c>
      <c r="Q490" s="696">
        <f t="shared" si="178"/>
        <v>129223</v>
      </c>
      <c r="R490" s="697">
        <f t="shared" si="203"/>
        <v>4307.4333333333334</v>
      </c>
      <c r="S490" s="679">
        <v>744</v>
      </c>
      <c r="T490" s="678">
        <v>833</v>
      </c>
      <c r="U490" s="694">
        <f t="shared" si="179"/>
        <v>107799.95999999999</v>
      </c>
      <c r="V490" s="698">
        <f t="shared" si="180"/>
        <v>129223</v>
      </c>
      <c r="W490" s="679"/>
      <c r="X490" s="678"/>
      <c r="Y490" s="679"/>
      <c r="Z490" s="678"/>
      <c r="AA490" s="679"/>
      <c r="AB490" s="678"/>
      <c r="AC490" s="679"/>
      <c r="AD490" s="678"/>
      <c r="AE490" s="694">
        <f t="shared" si="181"/>
        <v>0</v>
      </c>
      <c r="AF490" s="695">
        <f t="shared" si="201"/>
        <v>0</v>
      </c>
      <c r="AG490" s="696">
        <f t="shared" si="182"/>
        <v>0</v>
      </c>
      <c r="AH490" s="697">
        <f t="shared" si="202"/>
        <v>0</v>
      </c>
      <c r="AI490" s="679"/>
      <c r="AJ490" s="678"/>
      <c r="AK490" s="694">
        <f t="shared" si="183"/>
        <v>0</v>
      </c>
      <c r="AL490" s="698">
        <f t="shared" si="184"/>
        <v>0</v>
      </c>
      <c r="AM490" s="679"/>
      <c r="AN490" s="678"/>
      <c r="AO490" s="679"/>
      <c r="AP490" s="678"/>
      <c r="AQ490" s="679"/>
      <c r="AR490" s="678"/>
      <c r="AS490" s="679"/>
      <c r="AT490" s="678"/>
      <c r="AU490" s="699">
        <f t="shared" si="204"/>
        <v>0</v>
      </c>
      <c r="AV490" s="695">
        <f t="shared" si="205"/>
        <v>0</v>
      </c>
      <c r="AW490" s="696">
        <f t="shared" si="206"/>
        <v>0</v>
      </c>
      <c r="AX490" s="697">
        <f t="shared" si="207"/>
        <v>0</v>
      </c>
      <c r="AY490" s="700">
        <f t="shared" si="185"/>
        <v>3593.3319999999999</v>
      </c>
      <c r="AZ490" s="697">
        <f t="shared" si="186"/>
        <v>4307.4333333333334</v>
      </c>
      <c r="BA490" s="680"/>
    </row>
    <row r="491" spans="1:53">
      <c r="A491" s="159" t="s">
        <v>759</v>
      </c>
      <c r="B491" s="544" t="s">
        <v>778</v>
      </c>
      <c r="C491" s="545">
        <v>218140</v>
      </c>
      <c r="D491" s="546">
        <v>9</v>
      </c>
      <c r="E491" s="148" t="s">
        <v>393</v>
      </c>
      <c r="F491" s="149"/>
      <c r="G491" s="679"/>
      <c r="H491" s="678"/>
      <c r="I491" s="679">
        <v>54371.47</v>
      </c>
      <c r="J491" s="678">
        <v>62502</v>
      </c>
      <c r="K491" s="679">
        <v>19365.11</v>
      </c>
      <c r="L491" s="678">
        <v>23166</v>
      </c>
      <c r="M491" s="679">
        <v>59752.67</v>
      </c>
      <c r="N491" s="678">
        <v>72314</v>
      </c>
      <c r="O491" s="694">
        <f t="shared" si="177"/>
        <v>133489.25</v>
      </c>
      <c r="P491" s="695">
        <f t="shared" si="193"/>
        <v>4449.6416666666664</v>
      </c>
      <c r="Q491" s="696">
        <f t="shared" si="178"/>
        <v>157982</v>
      </c>
      <c r="R491" s="697">
        <f t="shared" si="203"/>
        <v>5266.0666666666666</v>
      </c>
      <c r="S491" s="679">
        <v>2366</v>
      </c>
      <c r="T491" s="678">
        <v>1936</v>
      </c>
      <c r="U491" s="694">
        <f t="shared" si="179"/>
        <v>133489.25</v>
      </c>
      <c r="V491" s="698">
        <f t="shared" si="180"/>
        <v>157982</v>
      </c>
      <c r="W491" s="679"/>
      <c r="X491" s="678"/>
      <c r="Y491" s="679"/>
      <c r="Z491" s="678"/>
      <c r="AA491" s="679"/>
      <c r="AB491" s="678"/>
      <c r="AC491" s="679"/>
      <c r="AD491" s="678"/>
      <c r="AE491" s="694">
        <f t="shared" si="181"/>
        <v>0</v>
      </c>
      <c r="AF491" s="695">
        <f t="shared" si="201"/>
        <v>0</v>
      </c>
      <c r="AG491" s="696">
        <f t="shared" si="182"/>
        <v>0</v>
      </c>
      <c r="AH491" s="697">
        <f t="shared" si="202"/>
        <v>0</v>
      </c>
      <c r="AI491" s="679"/>
      <c r="AJ491" s="678"/>
      <c r="AK491" s="694">
        <f t="shared" si="183"/>
        <v>0</v>
      </c>
      <c r="AL491" s="698">
        <f t="shared" si="184"/>
        <v>0</v>
      </c>
      <c r="AM491" s="679"/>
      <c r="AN491" s="678"/>
      <c r="AO491" s="679"/>
      <c r="AP491" s="678"/>
      <c r="AQ491" s="679"/>
      <c r="AR491" s="678"/>
      <c r="AS491" s="679"/>
      <c r="AT491" s="678"/>
      <c r="AU491" s="699">
        <f t="shared" si="204"/>
        <v>0</v>
      </c>
      <c r="AV491" s="695">
        <f t="shared" si="205"/>
        <v>0</v>
      </c>
      <c r="AW491" s="696">
        <f t="shared" si="206"/>
        <v>0</v>
      </c>
      <c r="AX491" s="697">
        <f t="shared" si="207"/>
        <v>0</v>
      </c>
      <c r="AY491" s="700">
        <f t="shared" si="185"/>
        <v>4449.6416666666664</v>
      </c>
      <c r="AZ491" s="697">
        <f t="shared" si="186"/>
        <v>5266.0666666666666</v>
      </c>
      <c r="BA491" s="680"/>
    </row>
    <row r="492" spans="1:53">
      <c r="A492" s="159" t="s">
        <v>759</v>
      </c>
      <c r="B492" s="159" t="s">
        <v>779</v>
      </c>
      <c r="C492" s="171">
        <v>218487</v>
      </c>
      <c r="D492" s="161">
        <v>9</v>
      </c>
      <c r="E492" s="148" t="s">
        <v>393</v>
      </c>
      <c r="F492" s="149"/>
      <c r="G492" s="679"/>
      <c r="H492" s="678"/>
      <c r="I492" s="679">
        <v>23247.19</v>
      </c>
      <c r="J492" s="678">
        <v>27903</v>
      </c>
      <c r="K492" s="679">
        <v>10059.17</v>
      </c>
      <c r="L492" s="678">
        <v>11475</v>
      </c>
      <c r="M492" s="679">
        <v>29056.79</v>
      </c>
      <c r="N492" s="678">
        <v>33262</v>
      </c>
      <c r="O492" s="694">
        <f t="shared" si="177"/>
        <v>62363.15</v>
      </c>
      <c r="P492" s="695">
        <f t="shared" si="193"/>
        <v>2078.7716666666665</v>
      </c>
      <c r="Q492" s="696">
        <f t="shared" si="178"/>
        <v>72640</v>
      </c>
      <c r="R492" s="697">
        <f t="shared" si="203"/>
        <v>2421.3333333333335</v>
      </c>
      <c r="S492" s="679">
        <v>3561</v>
      </c>
      <c r="T492" s="678">
        <v>4643</v>
      </c>
      <c r="U492" s="694">
        <f t="shared" si="179"/>
        <v>62363.15</v>
      </c>
      <c r="V492" s="698">
        <f t="shared" si="180"/>
        <v>72640</v>
      </c>
      <c r="W492" s="679"/>
      <c r="X492" s="678"/>
      <c r="Y492" s="679"/>
      <c r="Z492" s="678"/>
      <c r="AA492" s="679"/>
      <c r="AB492" s="678"/>
      <c r="AC492" s="679"/>
      <c r="AD492" s="678"/>
      <c r="AE492" s="694">
        <f t="shared" si="181"/>
        <v>0</v>
      </c>
      <c r="AF492" s="695">
        <f t="shared" si="201"/>
        <v>0</v>
      </c>
      <c r="AG492" s="696">
        <f t="shared" si="182"/>
        <v>0</v>
      </c>
      <c r="AH492" s="697">
        <f t="shared" si="202"/>
        <v>0</v>
      </c>
      <c r="AI492" s="679"/>
      <c r="AJ492" s="678"/>
      <c r="AK492" s="694">
        <f t="shared" si="183"/>
        <v>0</v>
      </c>
      <c r="AL492" s="698">
        <f t="shared" si="184"/>
        <v>0</v>
      </c>
      <c r="AM492" s="679"/>
      <c r="AN492" s="678"/>
      <c r="AO492" s="679"/>
      <c r="AP492" s="678"/>
      <c r="AQ492" s="679"/>
      <c r="AR492" s="678"/>
      <c r="AS492" s="679"/>
      <c r="AT492" s="678"/>
      <c r="AU492" s="699">
        <f t="shared" si="204"/>
        <v>0</v>
      </c>
      <c r="AV492" s="695">
        <f t="shared" si="205"/>
        <v>0</v>
      </c>
      <c r="AW492" s="696">
        <f t="shared" si="206"/>
        <v>0</v>
      </c>
      <c r="AX492" s="697">
        <f t="shared" si="207"/>
        <v>0</v>
      </c>
      <c r="AY492" s="700">
        <f t="shared" si="185"/>
        <v>2078.7716666666665</v>
      </c>
      <c r="AZ492" s="697">
        <f t="shared" si="186"/>
        <v>2421.3333333333335</v>
      </c>
      <c r="BA492" s="680"/>
    </row>
    <row r="493" spans="1:53">
      <c r="A493" s="159" t="s">
        <v>759</v>
      </c>
      <c r="B493" s="159" t="s">
        <v>780</v>
      </c>
      <c r="C493" s="171">
        <v>218520</v>
      </c>
      <c r="D493" s="161">
        <v>9</v>
      </c>
      <c r="E493" s="148" t="s">
        <v>393</v>
      </c>
      <c r="F493" s="149"/>
      <c r="G493" s="679"/>
      <c r="H493" s="678"/>
      <c r="I493" s="679">
        <v>47232.11</v>
      </c>
      <c r="J493" s="678">
        <v>52615</v>
      </c>
      <c r="K493" s="679">
        <v>20808.52</v>
      </c>
      <c r="L493" s="678">
        <v>25008</v>
      </c>
      <c r="M493" s="679">
        <v>53255.92</v>
      </c>
      <c r="N493" s="678">
        <v>60029</v>
      </c>
      <c r="O493" s="694">
        <f t="shared" si="177"/>
        <v>121296.55</v>
      </c>
      <c r="P493" s="695">
        <f t="shared" si="193"/>
        <v>4043.2183333333332</v>
      </c>
      <c r="Q493" s="696">
        <f t="shared" si="178"/>
        <v>137652</v>
      </c>
      <c r="R493" s="697">
        <f t="shared" si="203"/>
        <v>4588.3999999999996</v>
      </c>
      <c r="S493" s="679">
        <v>7361</v>
      </c>
      <c r="T493" s="678">
        <v>8849</v>
      </c>
      <c r="U493" s="694">
        <f t="shared" si="179"/>
        <v>121296.55</v>
      </c>
      <c r="V493" s="698">
        <f t="shared" si="180"/>
        <v>137652</v>
      </c>
      <c r="W493" s="679"/>
      <c r="X493" s="678"/>
      <c r="Y493" s="679"/>
      <c r="Z493" s="678"/>
      <c r="AA493" s="679"/>
      <c r="AB493" s="678"/>
      <c r="AC493" s="679"/>
      <c r="AD493" s="678"/>
      <c r="AE493" s="694">
        <f t="shared" si="181"/>
        <v>0</v>
      </c>
      <c r="AF493" s="695">
        <f t="shared" si="201"/>
        <v>0</v>
      </c>
      <c r="AG493" s="696">
        <f t="shared" si="182"/>
        <v>0</v>
      </c>
      <c r="AH493" s="697">
        <f t="shared" si="202"/>
        <v>0</v>
      </c>
      <c r="AI493" s="679"/>
      <c r="AJ493" s="678"/>
      <c r="AK493" s="694">
        <f t="shared" si="183"/>
        <v>0</v>
      </c>
      <c r="AL493" s="698">
        <f t="shared" si="184"/>
        <v>0</v>
      </c>
      <c r="AM493" s="679"/>
      <c r="AN493" s="678"/>
      <c r="AO493" s="679"/>
      <c r="AP493" s="678"/>
      <c r="AQ493" s="679"/>
      <c r="AR493" s="678"/>
      <c r="AS493" s="679"/>
      <c r="AT493" s="678"/>
      <c r="AU493" s="699">
        <f t="shared" si="204"/>
        <v>0</v>
      </c>
      <c r="AV493" s="695">
        <f t="shared" si="205"/>
        <v>0</v>
      </c>
      <c r="AW493" s="696">
        <f t="shared" si="206"/>
        <v>0</v>
      </c>
      <c r="AX493" s="697">
        <f t="shared" si="207"/>
        <v>0</v>
      </c>
      <c r="AY493" s="700">
        <f t="shared" si="185"/>
        <v>4043.2183333333332</v>
      </c>
      <c r="AZ493" s="697">
        <f t="shared" si="186"/>
        <v>4588.3999999999996</v>
      </c>
      <c r="BA493" s="680"/>
    </row>
    <row r="494" spans="1:53">
      <c r="A494" s="159" t="s">
        <v>759</v>
      </c>
      <c r="B494" s="540" t="s">
        <v>848</v>
      </c>
      <c r="C494" s="171">
        <v>218830</v>
      </c>
      <c r="D494" s="161">
        <v>9</v>
      </c>
      <c r="E494" s="148" t="s">
        <v>393</v>
      </c>
      <c r="F494" s="149"/>
      <c r="G494" s="679"/>
      <c r="H494" s="678"/>
      <c r="I494" s="679">
        <v>47186.6</v>
      </c>
      <c r="J494" s="678">
        <v>50538</v>
      </c>
      <c r="K494" s="679">
        <v>16579.330000000002</v>
      </c>
      <c r="L494" s="678">
        <v>19354</v>
      </c>
      <c r="M494" s="679">
        <v>50817.52</v>
      </c>
      <c r="N494" s="678">
        <v>62001</v>
      </c>
      <c r="O494" s="694">
        <f t="shared" si="177"/>
        <v>114583.45</v>
      </c>
      <c r="P494" s="695">
        <f t="shared" si="193"/>
        <v>3819.4483333333333</v>
      </c>
      <c r="Q494" s="696">
        <f t="shared" si="178"/>
        <v>131893</v>
      </c>
      <c r="R494" s="697">
        <f t="shared" si="203"/>
        <v>4396.4333333333334</v>
      </c>
      <c r="S494" s="679">
        <v>539</v>
      </c>
      <c r="T494" s="678">
        <v>2918</v>
      </c>
      <c r="U494" s="694">
        <f t="shared" si="179"/>
        <v>114583.45</v>
      </c>
      <c r="V494" s="698">
        <f t="shared" si="180"/>
        <v>131893</v>
      </c>
      <c r="W494" s="679"/>
      <c r="X494" s="678"/>
      <c r="Y494" s="679"/>
      <c r="Z494" s="678"/>
      <c r="AA494" s="679"/>
      <c r="AB494" s="678"/>
      <c r="AC494" s="679"/>
      <c r="AD494" s="678"/>
      <c r="AE494" s="694">
        <f t="shared" si="181"/>
        <v>0</v>
      </c>
      <c r="AF494" s="695">
        <f t="shared" si="201"/>
        <v>0</v>
      </c>
      <c r="AG494" s="696">
        <f t="shared" si="182"/>
        <v>0</v>
      </c>
      <c r="AH494" s="697">
        <f t="shared" si="202"/>
        <v>0</v>
      </c>
      <c r="AI494" s="679"/>
      <c r="AJ494" s="678"/>
      <c r="AK494" s="694">
        <f t="shared" si="183"/>
        <v>0</v>
      </c>
      <c r="AL494" s="698">
        <f t="shared" si="184"/>
        <v>0</v>
      </c>
      <c r="AM494" s="679"/>
      <c r="AN494" s="678"/>
      <c r="AO494" s="679"/>
      <c r="AP494" s="678"/>
      <c r="AQ494" s="679"/>
      <c r="AR494" s="678"/>
      <c r="AS494" s="679"/>
      <c r="AT494" s="678"/>
      <c r="AU494" s="699">
        <f t="shared" si="204"/>
        <v>0</v>
      </c>
      <c r="AV494" s="695">
        <f t="shared" si="205"/>
        <v>0</v>
      </c>
      <c r="AW494" s="696">
        <f t="shared" si="206"/>
        <v>0</v>
      </c>
      <c r="AX494" s="697">
        <f t="shared" si="207"/>
        <v>0</v>
      </c>
      <c r="AY494" s="700">
        <f t="shared" si="185"/>
        <v>3819.4483333333333</v>
      </c>
      <c r="AZ494" s="697">
        <f t="shared" si="186"/>
        <v>4396.4333333333334</v>
      </c>
      <c r="BA494" s="680"/>
    </row>
    <row r="495" spans="1:53">
      <c r="A495" s="159" t="s">
        <v>759</v>
      </c>
      <c r="B495" s="544" t="s">
        <v>781</v>
      </c>
      <c r="C495" s="545">
        <v>218885</v>
      </c>
      <c r="D495" s="546">
        <v>9</v>
      </c>
      <c r="E495" s="148" t="s">
        <v>393</v>
      </c>
      <c r="F495" s="149"/>
      <c r="G495" s="679"/>
      <c r="H495" s="678"/>
      <c r="I495" s="679">
        <v>53297.39</v>
      </c>
      <c r="J495" s="678">
        <v>59727</v>
      </c>
      <c r="K495" s="679">
        <v>19922.189999999999</v>
      </c>
      <c r="L495" s="678">
        <v>24212</v>
      </c>
      <c r="M495" s="679">
        <v>65809.89</v>
      </c>
      <c r="N495" s="678">
        <v>78043</v>
      </c>
      <c r="O495" s="694">
        <f t="shared" si="177"/>
        <v>139029.47</v>
      </c>
      <c r="P495" s="695">
        <f t="shared" si="193"/>
        <v>4634.3156666666664</v>
      </c>
      <c r="Q495" s="696">
        <f t="shared" si="178"/>
        <v>161982</v>
      </c>
      <c r="R495" s="697">
        <f t="shared" si="203"/>
        <v>5399.4</v>
      </c>
      <c r="S495" s="679">
        <v>7504</v>
      </c>
      <c r="T495" s="678">
        <v>6319</v>
      </c>
      <c r="U495" s="694">
        <f t="shared" si="179"/>
        <v>139029.47</v>
      </c>
      <c r="V495" s="698">
        <f t="shared" si="180"/>
        <v>161982</v>
      </c>
      <c r="W495" s="679"/>
      <c r="X495" s="678"/>
      <c r="Y495" s="679"/>
      <c r="Z495" s="678"/>
      <c r="AA495" s="679"/>
      <c r="AB495" s="678"/>
      <c r="AC495" s="679"/>
      <c r="AD495" s="678"/>
      <c r="AE495" s="694">
        <f t="shared" si="181"/>
        <v>0</v>
      </c>
      <c r="AF495" s="695">
        <f t="shared" si="201"/>
        <v>0</v>
      </c>
      <c r="AG495" s="696">
        <f t="shared" si="182"/>
        <v>0</v>
      </c>
      <c r="AH495" s="697">
        <f t="shared" si="202"/>
        <v>0</v>
      </c>
      <c r="AI495" s="679"/>
      <c r="AJ495" s="678"/>
      <c r="AK495" s="694">
        <f t="shared" si="183"/>
        <v>0</v>
      </c>
      <c r="AL495" s="698">
        <f t="shared" si="184"/>
        <v>0</v>
      </c>
      <c r="AM495" s="679"/>
      <c r="AN495" s="678"/>
      <c r="AO495" s="679"/>
      <c r="AP495" s="678"/>
      <c r="AQ495" s="679"/>
      <c r="AR495" s="678"/>
      <c r="AS495" s="679"/>
      <c r="AT495" s="678"/>
      <c r="AU495" s="699">
        <f t="shared" si="204"/>
        <v>0</v>
      </c>
      <c r="AV495" s="695">
        <f t="shared" si="205"/>
        <v>0</v>
      </c>
      <c r="AW495" s="696">
        <f t="shared" si="206"/>
        <v>0</v>
      </c>
      <c r="AX495" s="697">
        <f t="shared" si="207"/>
        <v>0</v>
      </c>
      <c r="AY495" s="700">
        <f t="shared" si="185"/>
        <v>4634.3156666666664</v>
      </c>
      <c r="AZ495" s="697">
        <f t="shared" si="186"/>
        <v>5399.4</v>
      </c>
      <c r="BA495" s="680"/>
    </row>
    <row r="496" spans="1:53">
      <c r="A496" s="159" t="s">
        <v>759</v>
      </c>
      <c r="B496" s="159" t="s">
        <v>782</v>
      </c>
      <c r="C496" s="171">
        <v>218991</v>
      </c>
      <c r="D496" s="161">
        <v>9</v>
      </c>
      <c r="E496" s="148" t="s">
        <v>393</v>
      </c>
      <c r="F496" s="149"/>
      <c r="G496" s="679"/>
      <c r="H496" s="678"/>
      <c r="I496" s="679">
        <v>46418.92</v>
      </c>
      <c r="J496" s="678">
        <v>50612</v>
      </c>
      <c r="K496" s="679">
        <v>21602.75</v>
      </c>
      <c r="L496" s="678">
        <v>26285</v>
      </c>
      <c r="M496" s="679">
        <v>54637.85</v>
      </c>
      <c r="N496" s="678">
        <v>61855</v>
      </c>
      <c r="O496" s="694">
        <f t="shared" si="177"/>
        <v>122659.51999999999</v>
      </c>
      <c r="P496" s="695">
        <f t="shared" si="193"/>
        <v>4088.6506666666664</v>
      </c>
      <c r="Q496" s="696">
        <f t="shared" si="178"/>
        <v>138752</v>
      </c>
      <c r="R496" s="697">
        <f t="shared" si="203"/>
        <v>4625.0666666666666</v>
      </c>
      <c r="S496" s="679">
        <v>5594</v>
      </c>
      <c r="T496" s="678">
        <v>6420</v>
      </c>
      <c r="U496" s="694">
        <f t="shared" si="179"/>
        <v>122659.51999999999</v>
      </c>
      <c r="V496" s="698">
        <f t="shared" si="180"/>
        <v>138752</v>
      </c>
      <c r="W496" s="679"/>
      <c r="X496" s="678"/>
      <c r="Y496" s="679"/>
      <c r="Z496" s="678"/>
      <c r="AA496" s="679"/>
      <c r="AB496" s="678"/>
      <c r="AC496" s="679"/>
      <c r="AD496" s="678"/>
      <c r="AE496" s="694">
        <f t="shared" si="181"/>
        <v>0</v>
      </c>
      <c r="AF496" s="695">
        <f t="shared" si="201"/>
        <v>0</v>
      </c>
      <c r="AG496" s="696">
        <f t="shared" si="182"/>
        <v>0</v>
      </c>
      <c r="AH496" s="697">
        <f t="shared" si="202"/>
        <v>0</v>
      </c>
      <c r="AI496" s="679"/>
      <c r="AJ496" s="678"/>
      <c r="AK496" s="694">
        <f t="shared" si="183"/>
        <v>0</v>
      </c>
      <c r="AL496" s="698">
        <f t="shared" si="184"/>
        <v>0</v>
      </c>
      <c r="AM496" s="679"/>
      <c r="AN496" s="678"/>
      <c r="AO496" s="679"/>
      <c r="AP496" s="678"/>
      <c r="AQ496" s="679"/>
      <c r="AR496" s="678"/>
      <c r="AS496" s="679"/>
      <c r="AT496" s="678"/>
      <c r="AU496" s="699">
        <f t="shared" si="204"/>
        <v>0</v>
      </c>
      <c r="AV496" s="695">
        <f t="shared" si="205"/>
        <v>0</v>
      </c>
      <c r="AW496" s="696">
        <f t="shared" si="206"/>
        <v>0</v>
      </c>
      <c r="AX496" s="697">
        <f t="shared" si="207"/>
        <v>0</v>
      </c>
      <c r="AY496" s="700">
        <f t="shared" si="185"/>
        <v>4088.6506666666664</v>
      </c>
      <c r="AZ496" s="697">
        <f t="shared" si="186"/>
        <v>4625.0666666666666</v>
      </c>
      <c r="BA496" s="680"/>
    </row>
    <row r="497" spans="1:53">
      <c r="A497" s="159" t="s">
        <v>759</v>
      </c>
      <c r="B497" s="159" t="s">
        <v>783</v>
      </c>
      <c r="C497" s="171">
        <v>217989</v>
      </c>
      <c r="D497" s="161">
        <v>10</v>
      </c>
      <c r="E497" s="148" t="s">
        <v>393</v>
      </c>
      <c r="F497" s="149"/>
      <c r="G497" s="679"/>
      <c r="H497" s="678"/>
      <c r="I497" s="679">
        <v>15040.77</v>
      </c>
      <c r="J497" s="678">
        <v>17827</v>
      </c>
      <c r="K497" s="679">
        <v>3587.27</v>
      </c>
      <c r="L497" s="678">
        <v>4925</v>
      </c>
      <c r="M497" s="679">
        <v>19149.560000000001</v>
      </c>
      <c r="N497" s="678">
        <v>15731</v>
      </c>
      <c r="O497" s="694">
        <f t="shared" si="177"/>
        <v>37777.600000000006</v>
      </c>
      <c r="P497" s="695">
        <f t="shared" si="193"/>
        <v>1259.2533333333336</v>
      </c>
      <c r="Q497" s="696">
        <f t="shared" si="178"/>
        <v>38483</v>
      </c>
      <c r="R497" s="697">
        <f t="shared" si="203"/>
        <v>1282.7666666666667</v>
      </c>
      <c r="S497" s="679">
        <v>741</v>
      </c>
      <c r="T497" s="678">
        <v>2</v>
      </c>
      <c r="U497" s="694">
        <f t="shared" si="179"/>
        <v>37777.600000000006</v>
      </c>
      <c r="V497" s="698">
        <f t="shared" si="180"/>
        <v>38483</v>
      </c>
      <c r="W497" s="679"/>
      <c r="X497" s="678"/>
      <c r="Y497" s="679"/>
      <c r="Z497" s="678"/>
      <c r="AA497" s="679"/>
      <c r="AB497" s="678"/>
      <c r="AC497" s="679"/>
      <c r="AD497" s="678"/>
      <c r="AE497" s="694">
        <f t="shared" si="181"/>
        <v>0</v>
      </c>
      <c r="AF497" s="695">
        <f t="shared" si="201"/>
        <v>0</v>
      </c>
      <c r="AG497" s="696">
        <f t="shared" si="182"/>
        <v>0</v>
      </c>
      <c r="AH497" s="697">
        <f t="shared" si="202"/>
        <v>0</v>
      </c>
      <c r="AI497" s="679"/>
      <c r="AJ497" s="678"/>
      <c r="AK497" s="694">
        <f t="shared" si="183"/>
        <v>0</v>
      </c>
      <c r="AL497" s="698">
        <f t="shared" si="184"/>
        <v>0</v>
      </c>
      <c r="AM497" s="679"/>
      <c r="AN497" s="678"/>
      <c r="AO497" s="679"/>
      <c r="AP497" s="678"/>
      <c r="AQ497" s="679"/>
      <c r="AR497" s="678"/>
      <c r="AS497" s="679"/>
      <c r="AT497" s="678"/>
      <c r="AU497" s="699">
        <f t="shared" si="204"/>
        <v>0</v>
      </c>
      <c r="AV497" s="695">
        <f t="shared" si="205"/>
        <v>0</v>
      </c>
      <c r="AW497" s="696">
        <f t="shared" si="206"/>
        <v>0</v>
      </c>
      <c r="AX497" s="697">
        <f t="shared" si="207"/>
        <v>0</v>
      </c>
      <c r="AY497" s="700">
        <f t="shared" si="185"/>
        <v>1259.2533333333336</v>
      </c>
      <c r="AZ497" s="697">
        <f t="shared" si="186"/>
        <v>1282.7666666666667</v>
      </c>
      <c r="BA497" s="680"/>
    </row>
    <row r="498" spans="1:53">
      <c r="A498" s="159" t="s">
        <v>759</v>
      </c>
      <c r="B498" s="159" t="s">
        <v>784</v>
      </c>
      <c r="C498" s="171">
        <v>217837</v>
      </c>
      <c r="D498" s="161">
        <v>10</v>
      </c>
      <c r="E498" s="148" t="s">
        <v>393</v>
      </c>
      <c r="F498" s="149"/>
      <c r="G498" s="679"/>
      <c r="H498" s="678"/>
      <c r="I498" s="679">
        <v>9290.5400000000009</v>
      </c>
      <c r="J498" s="678">
        <v>10216</v>
      </c>
      <c r="K498" s="679">
        <v>5077.67</v>
      </c>
      <c r="L498" s="678">
        <v>5965</v>
      </c>
      <c r="M498" s="679">
        <v>11295.65</v>
      </c>
      <c r="N498" s="678">
        <v>11209</v>
      </c>
      <c r="O498" s="694">
        <f t="shared" ref="O498:O561" si="208">SUM(G498,I498,K498,M498)</f>
        <v>25663.86</v>
      </c>
      <c r="P498" s="695">
        <f t="shared" si="193"/>
        <v>855.46199999999999</v>
      </c>
      <c r="Q498" s="696">
        <f t="shared" ref="Q498:Q561" si="209">SUM(H498,J498,L498,N498)</f>
        <v>27390</v>
      </c>
      <c r="R498" s="697">
        <f t="shared" si="203"/>
        <v>913</v>
      </c>
      <c r="S498" s="679">
        <v>557</v>
      </c>
      <c r="T498" s="678">
        <v>894</v>
      </c>
      <c r="U498" s="694">
        <f t="shared" ref="U498:U561" si="210">IF(OR(ISBLANK(S498),(S498="—")),0,O498)</f>
        <v>25663.86</v>
      </c>
      <c r="V498" s="698">
        <f t="shared" ref="V498:V561" si="211">IF(OR(ISBLANK(T498),(T498="—")),0,Q498)</f>
        <v>27390</v>
      </c>
      <c r="W498" s="679"/>
      <c r="X498" s="678"/>
      <c r="Y498" s="679"/>
      <c r="Z498" s="678"/>
      <c r="AA498" s="679"/>
      <c r="AB498" s="678"/>
      <c r="AC498" s="679"/>
      <c r="AD498" s="678"/>
      <c r="AE498" s="694">
        <f t="shared" ref="AE498:AE561" si="212">SUM(W498,Y498,AA498,AC498)</f>
        <v>0</v>
      </c>
      <c r="AF498" s="695">
        <f t="shared" si="201"/>
        <v>0</v>
      </c>
      <c r="AG498" s="696">
        <f t="shared" ref="AG498:AG561" si="213">SUM(X498,Z498,AB498,AD498)</f>
        <v>0</v>
      </c>
      <c r="AH498" s="697">
        <f t="shared" si="202"/>
        <v>0</v>
      </c>
      <c r="AI498" s="679"/>
      <c r="AJ498" s="678"/>
      <c r="AK498" s="694">
        <f t="shared" ref="AK498:AK561" si="214">IF(OR(ISBLANK(AI498),(AI498="—")),0,AE498)</f>
        <v>0</v>
      </c>
      <c r="AL498" s="698">
        <f t="shared" ref="AL498:AL561" si="215">IF(OR(ISBLANK(AJ498),(AJ498="—")),0,AG498)</f>
        <v>0</v>
      </c>
      <c r="AM498" s="679"/>
      <c r="AN498" s="678"/>
      <c r="AO498" s="679"/>
      <c r="AP498" s="678"/>
      <c r="AQ498" s="679"/>
      <c r="AR498" s="678"/>
      <c r="AS498" s="679"/>
      <c r="AT498" s="678"/>
      <c r="AU498" s="699">
        <f t="shared" si="204"/>
        <v>0</v>
      </c>
      <c r="AV498" s="695">
        <f t="shared" si="205"/>
        <v>0</v>
      </c>
      <c r="AW498" s="696">
        <f t="shared" si="206"/>
        <v>0</v>
      </c>
      <c r="AX498" s="697">
        <f t="shared" si="207"/>
        <v>0</v>
      </c>
      <c r="AY498" s="700">
        <f t="shared" ref="AY498:AY561" si="216">SUM(P498,AF498,AV498)</f>
        <v>855.46199999999999</v>
      </c>
      <c r="AZ498" s="697">
        <f t="shared" ref="AZ498:AZ561" si="217">SUM(R498,AH498,AX498)</f>
        <v>913</v>
      </c>
      <c r="BA498" s="680"/>
    </row>
    <row r="499" spans="1:53">
      <c r="A499" s="159" t="s">
        <v>759</v>
      </c>
      <c r="B499" s="159" t="s">
        <v>785</v>
      </c>
      <c r="C499" s="171">
        <v>217712</v>
      </c>
      <c r="D499" s="161">
        <v>10</v>
      </c>
      <c r="E499" s="148" t="s">
        <v>393</v>
      </c>
      <c r="F499" s="149"/>
      <c r="G499" s="679"/>
      <c r="H499" s="678"/>
      <c r="I499" s="679">
        <v>17323.27</v>
      </c>
      <c r="J499" s="678">
        <v>20925</v>
      </c>
      <c r="K499" s="679">
        <v>7570.6</v>
      </c>
      <c r="L499" s="678">
        <v>8476</v>
      </c>
      <c r="M499" s="679">
        <v>20877.580000000002</v>
      </c>
      <c r="N499" s="678">
        <v>25652</v>
      </c>
      <c r="O499" s="694">
        <f t="shared" si="208"/>
        <v>45771.450000000004</v>
      </c>
      <c r="P499" s="695">
        <f t="shared" si="193"/>
        <v>1525.7150000000001</v>
      </c>
      <c r="Q499" s="696">
        <f t="shared" si="209"/>
        <v>55053</v>
      </c>
      <c r="R499" s="697">
        <f t="shared" si="203"/>
        <v>1835.1</v>
      </c>
      <c r="S499" s="679">
        <v>2767</v>
      </c>
      <c r="T499" s="678">
        <v>2124</v>
      </c>
      <c r="U499" s="694">
        <f t="shared" si="210"/>
        <v>45771.450000000004</v>
      </c>
      <c r="V499" s="698">
        <f t="shared" si="211"/>
        <v>55053</v>
      </c>
      <c r="W499" s="679"/>
      <c r="X499" s="678"/>
      <c r="Y499" s="679"/>
      <c r="Z499" s="678"/>
      <c r="AA499" s="679"/>
      <c r="AB499" s="678"/>
      <c r="AC499" s="679"/>
      <c r="AD499" s="678"/>
      <c r="AE499" s="694">
        <f t="shared" si="212"/>
        <v>0</v>
      </c>
      <c r="AF499" s="695">
        <f t="shared" si="201"/>
        <v>0</v>
      </c>
      <c r="AG499" s="696">
        <f t="shared" si="213"/>
        <v>0</v>
      </c>
      <c r="AH499" s="697">
        <f t="shared" si="202"/>
        <v>0</v>
      </c>
      <c r="AI499" s="679"/>
      <c r="AJ499" s="678"/>
      <c r="AK499" s="694">
        <f t="shared" si="214"/>
        <v>0</v>
      </c>
      <c r="AL499" s="698">
        <f t="shared" si="215"/>
        <v>0</v>
      </c>
      <c r="AM499" s="679"/>
      <c r="AN499" s="678"/>
      <c r="AO499" s="679"/>
      <c r="AP499" s="678"/>
      <c r="AQ499" s="679"/>
      <c r="AR499" s="678"/>
      <c r="AS499" s="679"/>
      <c r="AT499" s="678"/>
      <c r="AU499" s="699">
        <f t="shared" si="204"/>
        <v>0</v>
      </c>
      <c r="AV499" s="695">
        <f t="shared" si="205"/>
        <v>0</v>
      </c>
      <c r="AW499" s="696">
        <f t="shared" si="206"/>
        <v>0</v>
      </c>
      <c r="AX499" s="697">
        <f t="shared" si="207"/>
        <v>0</v>
      </c>
      <c r="AY499" s="700">
        <f t="shared" si="216"/>
        <v>1525.7150000000001</v>
      </c>
      <c r="AZ499" s="697">
        <f t="shared" si="217"/>
        <v>1835.1</v>
      </c>
      <c r="BA499" s="680"/>
    </row>
    <row r="500" spans="1:53">
      <c r="A500" s="159" t="s">
        <v>759</v>
      </c>
      <c r="B500" s="159" t="s">
        <v>786</v>
      </c>
      <c r="C500" s="171">
        <v>218672</v>
      </c>
      <c r="D500" s="161">
        <v>10</v>
      </c>
      <c r="E500" s="148" t="s">
        <v>393</v>
      </c>
      <c r="F500" s="149"/>
      <c r="G500" s="679"/>
      <c r="H500" s="678"/>
      <c r="I500" s="679">
        <v>12818</v>
      </c>
      <c r="J500" s="678">
        <v>13912</v>
      </c>
      <c r="K500" s="679">
        <v>1749</v>
      </c>
      <c r="L500" s="678">
        <v>1931</v>
      </c>
      <c r="M500" s="679">
        <v>16184</v>
      </c>
      <c r="N500" s="678">
        <v>16104</v>
      </c>
      <c r="O500" s="694">
        <f t="shared" si="208"/>
        <v>30751</v>
      </c>
      <c r="P500" s="695">
        <f t="shared" si="193"/>
        <v>1025.0333333333333</v>
      </c>
      <c r="Q500" s="696">
        <f t="shared" si="209"/>
        <v>31947</v>
      </c>
      <c r="R500" s="697">
        <f t="shared" si="203"/>
        <v>1064.9000000000001</v>
      </c>
      <c r="S500" s="679">
        <v>2642</v>
      </c>
      <c r="T500" s="678">
        <v>2520</v>
      </c>
      <c r="U500" s="694">
        <f t="shared" si="210"/>
        <v>30751</v>
      </c>
      <c r="V500" s="698">
        <f t="shared" si="211"/>
        <v>31947</v>
      </c>
      <c r="W500" s="679"/>
      <c r="X500" s="678"/>
      <c r="Y500" s="679"/>
      <c r="Z500" s="678"/>
      <c r="AA500" s="679"/>
      <c r="AB500" s="678"/>
      <c r="AC500" s="679"/>
      <c r="AD500" s="678"/>
      <c r="AE500" s="694">
        <f t="shared" si="212"/>
        <v>0</v>
      </c>
      <c r="AF500" s="695">
        <f t="shared" si="201"/>
        <v>0</v>
      </c>
      <c r="AG500" s="696">
        <f t="shared" si="213"/>
        <v>0</v>
      </c>
      <c r="AH500" s="697">
        <f t="shared" si="202"/>
        <v>0</v>
      </c>
      <c r="AI500" s="679"/>
      <c r="AJ500" s="678"/>
      <c r="AK500" s="694">
        <f t="shared" si="214"/>
        <v>0</v>
      </c>
      <c r="AL500" s="698">
        <f t="shared" si="215"/>
        <v>0</v>
      </c>
      <c r="AM500" s="679"/>
      <c r="AN500" s="678"/>
      <c r="AO500" s="679"/>
      <c r="AP500" s="678"/>
      <c r="AQ500" s="679"/>
      <c r="AR500" s="678"/>
      <c r="AS500" s="679"/>
      <c r="AT500" s="678"/>
      <c r="AU500" s="699">
        <f t="shared" si="204"/>
        <v>0</v>
      </c>
      <c r="AV500" s="695">
        <f t="shared" si="205"/>
        <v>0</v>
      </c>
      <c r="AW500" s="696">
        <f t="shared" si="206"/>
        <v>0</v>
      </c>
      <c r="AX500" s="697">
        <f t="shared" si="207"/>
        <v>0</v>
      </c>
      <c r="AY500" s="700">
        <f t="shared" si="216"/>
        <v>1025.0333333333333</v>
      </c>
      <c r="AZ500" s="697">
        <f t="shared" si="217"/>
        <v>1064.9000000000001</v>
      </c>
      <c r="BA500" s="680"/>
    </row>
    <row r="501" spans="1:53">
      <c r="A501" s="159" t="s">
        <v>759</v>
      </c>
      <c r="B501" s="159" t="s">
        <v>787</v>
      </c>
      <c r="C501" s="171">
        <v>218681</v>
      </c>
      <c r="D501" s="161">
        <v>10</v>
      </c>
      <c r="E501" s="148" t="s">
        <v>393</v>
      </c>
      <c r="F501" s="149"/>
      <c r="G501" s="679"/>
      <c r="H501" s="678"/>
      <c r="I501" s="679">
        <v>7979</v>
      </c>
      <c r="J501" s="678">
        <v>8076</v>
      </c>
      <c r="K501" s="679">
        <v>944</v>
      </c>
      <c r="L501" s="678">
        <v>933</v>
      </c>
      <c r="M501" s="679">
        <v>9332</v>
      </c>
      <c r="N501" s="678">
        <v>9655</v>
      </c>
      <c r="O501" s="694">
        <f t="shared" si="208"/>
        <v>18255</v>
      </c>
      <c r="P501" s="695">
        <f t="shared" si="193"/>
        <v>608.5</v>
      </c>
      <c r="Q501" s="696">
        <f t="shared" si="209"/>
        <v>18664</v>
      </c>
      <c r="R501" s="697">
        <f t="shared" si="203"/>
        <v>622.13333333333333</v>
      </c>
      <c r="S501" s="679">
        <v>1230</v>
      </c>
      <c r="T501" s="678">
        <v>1106</v>
      </c>
      <c r="U501" s="694">
        <f t="shared" si="210"/>
        <v>18255</v>
      </c>
      <c r="V501" s="698">
        <f t="shared" si="211"/>
        <v>18664</v>
      </c>
      <c r="W501" s="679"/>
      <c r="X501" s="678"/>
      <c r="Y501" s="679"/>
      <c r="Z501" s="678"/>
      <c r="AA501" s="679"/>
      <c r="AB501" s="678"/>
      <c r="AC501" s="679"/>
      <c r="AD501" s="678"/>
      <c r="AE501" s="694">
        <f t="shared" si="212"/>
        <v>0</v>
      </c>
      <c r="AF501" s="695">
        <f t="shared" si="201"/>
        <v>0</v>
      </c>
      <c r="AG501" s="696">
        <f t="shared" si="213"/>
        <v>0</v>
      </c>
      <c r="AH501" s="697">
        <f t="shared" si="202"/>
        <v>0</v>
      </c>
      <c r="AI501" s="679"/>
      <c r="AJ501" s="678"/>
      <c r="AK501" s="694">
        <f t="shared" si="214"/>
        <v>0</v>
      </c>
      <c r="AL501" s="698">
        <f t="shared" si="215"/>
        <v>0</v>
      </c>
      <c r="AM501" s="679"/>
      <c r="AN501" s="678"/>
      <c r="AO501" s="679"/>
      <c r="AP501" s="678"/>
      <c r="AQ501" s="679"/>
      <c r="AR501" s="678"/>
      <c r="AS501" s="679"/>
      <c r="AT501" s="678"/>
      <c r="AU501" s="699">
        <f t="shared" si="204"/>
        <v>0</v>
      </c>
      <c r="AV501" s="695">
        <f t="shared" si="205"/>
        <v>0</v>
      </c>
      <c r="AW501" s="696">
        <f t="shared" si="206"/>
        <v>0</v>
      </c>
      <c r="AX501" s="697">
        <f t="shared" si="207"/>
        <v>0</v>
      </c>
      <c r="AY501" s="700">
        <f t="shared" si="216"/>
        <v>608.5</v>
      </c>
      <c r="AZ501" s="697">
        <f t="shared" si="217"/>
        <v>622.13333333333333</v>
      </c>
      <c r="BA501" s="680"/>
    </row>
    <row r="502" spans="1:53">
      <c r="A502" s="159" t="s">
        <v>759</v>
      </c>
      <c r="B502" s="159" t="s">
        <v>81</v>
      </c>
      <c r="C502" s="171">
        <v>218690</v>
      </c>
      <c r="D502" s="161">
        <v>10</v>
      </c>
      <c r="E502" s="148" t="s">
        <v>393</v>
      </c>
      <c r="F502" s="149"/>
      <c r="G502" s="679"/>
      <c r="H502" s="678"/>
      <c r="I502" s="679">
        <v>11492</v>
      </c>
      <c r="J502" s="678">
        <v>11388</v>
      </c>
      <c r="K502" s="679">
        <v>1591</v>
      </c>
      <c r="L502" s="678">
        <v>1386</v>
      </c>
      <c r="M502" s="679">
        <v>13020</v>
      </c>
      <c r="N502" s="678">
        <v>13300</v>
      </c>
      <c r="O502" s="694">
        <f t="shared" si="208"/>
        <v>26103</v>
      </c>
      <c r="P502" s="695">
        <f t="shared" si="193"/>
        <v>870.1</v>
      </c>
      <c r="Q502" s="696">
        <f t="shared" si="209"/>
        <v>26074</v>
      </c>
      <c r="R502" s="697">
        <f t="shared" si="203"/>
        <v>869.13333333333333</v>
      </c>
      <c r="S502" s="679">
        <v>2203</v>
      </c>
      <c r="T502" s="678">
        <v>3093</v>
      </c>
      <c r="U502" s="694">
        <f t="shared" si="210"/>
        <v>26103</v>
      </c>
      <c r="V502" s="698">
        <f t="shared" si="211"/>
        <v>26074</v>
      </c>
      <c r="W502" s="679"/>
      <c r="X502" s="678"/>
      <c r="Y502" s="679"/>
      <c r="Z502" s="678"/>
      <c r="AA502" s="679"/>
      <c r="AB502" s="678"/>
      <c r="AC502" s="679"/>
      <c r="AD502" s="678"/>
      <c r="AE502" s="694">
        <f t="shared" si="212"/>
        <v>0</v>
      </c>
      <c r="AF502" s="695">
        <f t="shared" si="201"/>
        <v>0</v>
      </c>
      <c r="AG502" s="696">
        <f t="shared" si="213"/>
        <v>0</v>
      </c>
      <c r="AH502" s="697">
        <f t="shared" si="202"/>
        <v>0</v>
      </c>
      <c r="AI502" s="679"/>
      <c r="AJ502" s="678"/>
      <c r="AK502" s="694">
        <f t="shared" si="214"/>
        <v>0</v>
      </c>
      <c r="AL502" s="698">
        <f t="shared" si="215"/>
        <v>0</v>
      </c>
      <c r="AM502" s="679"/>
      <c r="AN502" s="678"/>
      <c r="AO502" s="679"/>
      <c r="AP502" s="678"/>
      <c r="AQ502" s="679"/>
      <c r="AR502" s="678"/>
      <c r="AS502" s="679"/>
      <c r="AT502" s="678"/>
      <c r="AU502" s="699">
        <f t="shared" si="204"/>
        <v>0</v>
      </c>
      <c r="AV502" s="695">
        <f t="shared" si="205"/>
        <v>0</v>
      </c>
      <c r="AW502" s="696">
        <f t="shared" si="206"/>
        <v>0</v>
      </c>
      <c r="AX502" s="697">
        <f t="shared" si="207"/>
        <v>0</v>
      </c>
      <c r="AY502" s="700">
        <f t="shared" si="216"/>
        <v>870.1</v>
      </c>
      <c r="AZ502" s="697">
        <f t="shared" si="217"/>
        <v>869.13333333333333</v>
      </c>
      <c r="BA502" s="680"/>
    </row>
    <row r="503" spans="1:53">
      <c r="A503" s="159" t="s">
        <v>759</v>
      </c>
      <c r="B503" s="159" t="s">
        <v>82</v>
      </c>
      <c r="C503" s="171">
        <v>218706</v>
      </c>
      <c r="D503" s="161">
        <v>10</v>
      </c>
      <c r="E503" s="148" t="s">
        <v>393</v>
      </c>
      <c r="F503" s="149"/>
      <c r="G503" s="679"/>
      <c r="H503" s="678"/>
      <c r="I503" s="679">
        <v>3832</v>
      </c>
      <c r="J503" s="678">
        <v>3852</v>
      </c>
      <c r="K503" s="679">
        <v>482</v>
      </c>
      <c r="L503" s="678">
        <v>551</v>
      </c>
      <c r="M503" s="679">
        <v>3723</v>
      </c>
      <c r="N503" s="678">
        <v>4973</v>
      </c>
      <c r="O503" s="694">
        <f t="shared" si="208"/>
        <v>8037</v>
      </c>
      <c r="P503" s="695">
        <f t="shared" si="193"/>
        <v>267.89999999999998</v>
      </c>
      <c r="Q503" s="696">
        <f t="shared" si="209"/>
        <v>9376</v>
      </c>
      <c r="R503" s="697">
        <f t="shared" si="203"/>
        <v>312.53333333333336</v>
      </c>
      <c r="S503" s="679">
        <v>1922</v>
      </c>
      <c r="T503" s="678">
        <v>2184</v>
      </c>
      <c r="U503" s="694">
        <f t="shared" si="210"/>
        <v>8037</v>
      </c>
      <c r="V503" s="698">
        <f t="shared" si="211"/>
        <v>9376</v>
      </c>
      <c r="W503" s="679"/>
      <c r="X503" s="678"/>
      <c r="Y503" s="679"/>
      <c r="Z503" s="678"/>
      <c r="AA503" s="679"/>
      <c r="AB503" s="678"/>
      <c r="AC503" s="679"/>
      <c r="AD503" s="678"/>
      <c r="AE503" s="694">
        <f t="shared" si="212"/>
        <v>0</v>
      </c>
      <c r="AF503" s="695">
        <f t="shared" si="201"/>
        <v>0</v>
      </c>
      <c r="AG503" s="696">
        <f t="shared" si="213"/>
        <v>0</v>
      </c>
      <c r="AH503" s="697">
        <f t="shared" si="202"/>
        <v>0</v>
      </c>
      <c r="AI503" s="679"/>
      <c r="AJ503" s="678"/>
      <c r="AK503" s="694">
        <f t="shared" si="214"/>
        <v>0</v>
      </c>
      <c r="AL503" s="698">
        <f t="shared" si="215"/>
        <v>0</v>
      </c>
      <c r="AM503" s="679"/>
      <c r="AN503" s="678"/>
      <c r="AO503" s="679"/>
      <c r="AP503" s="678"/>
      <c r="AQ503" s="679"/>
      <c r="AR503" s="678"/>
      <c r="AS503" s="679"/>
      <c r="AT503" s="678"/>
      <c r="AU503" s="699">
        <f t="shared" si="204"/>
        <v>0</v>
      </c>
      <c r="AV503" s="695">
        <f t="shared" si="205"/>
        <v>0</v>
      </c>
      <c r="AW503" s="696">
        <f t="shared" si="206"/>
        <v>0</v>
      </c>
      <c r="AX503" s="697">
        <f t="shared" si="207"/>
        <v>0</v>
      </c>
      <c r="AY503" s="700">
        <f t="shared" si="216"/>
        <v>267.89999999999998</v>
      </c>
      <c r="AZ503" s="697">
        <f t="shared" si="217"/>
        <v>312.53333333333336</v>
      </c>
      <c r="BA503" s="680"/>
    </row>
    <row r="504" spans="1:53">
      <c r="A504" s="159" t="s">
        <v>759</v>
      </c>
      <c r="B504" s="159" t="s">
        <v>83</v>
      </c>
      <c r="C504" s="171">
        <v>218955</v>
      </c>
      <c r="D504" s="161">
        <v>10</v>
      </c>
      <c r="E504" s="148" t="s">
        <v>393</v>
      </c>
      <c r="F504" s="149"/>
      <c r="G504" s="679"/>
      <c r="H504" s="678"/>
      <c r="I504" s="679">
        <v>5228.26</v>
      </c>
      <c r="J504" s="678">
        <v>6222</v>
      </c>
      <c r="K504" s="679">
        <v>3205.54</v>
      </c>
      <c r="L504" s="678">
        <v>3377</v>
      </c>
      <c r="M504" s="679">
        <v>6429.28</v>
      </c>
      <c r="N504" s="678">
        <v>7415</v>
      </c>
      <c r="O504" s="694">
        <f t="shared" si="208"/>
        <v>14863.079999999998</v>
      </c>
      <c r="P504" s="695">
        <f t="shared" si="193"/>
        <v>495.43599999999992</v>
      </c>
      <c r="Q504" s="696">
        <f t="shared" si="209"/>
        <v>17014</v>
      </c>
      <c r="R504" s="697">
        <f t="shared" si="203"/>
        <v>567.13333333333333</v>
      </c>
      <c r="S504" s="679">
        <v>809</v>
      </c>
      <c r="T504" s="678">
        <v>774</v>
      </c>
      <c r="U504" s="694">
        <f t="shared" si="210"/>
        <v>14863.079999999998</v>
      </c>
      <c r="V504" s="698">
        <f t="shared" si="211"/>
        <v>17014</v>
      </c>
      <c r="W504" s="679"/>
      <c r="X504" s="678"/>
      <c r="Y504" s="679"/>
      <c r="Z504" s="678"/>
      <c r="AA504" s="679"/>
      <c r="AB504" s="678"/>
      <c r="AC504" s="679"/>
      <c r="AD504" s="678"/>
      <c r="AE504" s="694">
        <f t="shared" si="212"/>
        <v>0</v>
      </c>
      <c r="AF504" s="695">
        <f t="shared" si="201"/>
        <v>0</v>
      </c>
      <c r="AG504" s="696">
        <f t="shared" si="213"/>
        <v>0</v>
      </c>
      <c r="AH504" s="697">
        <f t="shared" si="202"/>
        <v>0</v>
      </c>
      <c r="AI504" s="679"/>
      <c r="AJ504" s="678"/>
      <c r="AK504" s="694">
        <f t="shared" si="214"/>
        <v>0</v>
      </c>
      <c r="AL504" s="698">
        <f t="shared" si="215"/>
        <v>0</v>
      </c>
      <c r="AM504" s="679"/>
      <c r="AN504" s="678"/>
      <c r="AO504" s="679"/>
      <c r="AP504" s="678"/>
      <c r="AQ504" s="679"/>
      <c r="AR504" s="678"/>
      <c r="AS504" s="679"/>
      <c r="AT504" s="678"/>
      <c r="AU504" s="699">
        <f t="shared" si="204"/>
        <v>0</v>
      </c>
      <c r="AV504" s="695">
        <f t="shared" si="205"/>
        <v>0</v>
      </c>
      <c r="AW504" s="696">
        <f t="shared" si="206"/>
        <v>0</v>
      </c>
      <c r="AX504" s="697">
        <f t="shared" si="207"/>
        <v>0</v>
      </c>
      <c r="AY504" s="700">
        <f t="shared" si="216"/>
        <v>495.43599999999992</v>
      </c>
      <c r="AZ504" s="697">
        <f t="shared" si="217"/>
        <v>567.13333333333333</v>
      </c>
      <c r="BA504" s="680"/>
    </row>
    <row r="505" spans="1:53">
      <c r="A505" s="514" t="s">
        <v>227</v>
      </c>
      <c r="B505" s="547" t="s">
        <v>229</v>
      </c>
      <c r="C505" s="548">
        <v>220862</v>
      </c>
      <c r="D505" s="473">
        <v>1</v>
      </c>
      <c r="E505" s="148" t="s">
        <v>393</v>
      </c>
      <c r="F505" s="149" t="s">
        <v>393</v>
      </c>
      <c r="G505" s="679"/>
      <c r="H505" s="678"/>
      <c r="I505" s="679">
        <v>176816</v>
      </c>
      <c r="J505" s="678">
        <v>183409</v>
      </c>
      <c r="K505" s="679">
        <v>29438</v>
      </c>
      <c r="L505" s="678">
        <v>28087</v>
      </c>
      <c r="M505" s="679">
        <v>194725</v>
      </c>
      <c r="N505" s="678">
        <v>204299</v>
      </c>
      <c r="O505" s="694">
        <f t="shared" si="208"/>
        <v>400979</v>
      </c>
      <c r="P505" s="695">
        <f t="shared" si="193"/>
        <v>13365.966666666667</v>
      </c>
      <c r="Q505" s="696">
        <f t="shared" si="209"/>
        <v>415795</v>
      </c>
      <c r="R505" s="697">
        <f t="shared" si="187"/>
        <v>13859.833333333334</v>
      </c>
      <c r="S505" s="679">
        <v>2163</v>
      </c>
      <c r="T505" s="678">
        <v>2798</v>
      </c>
      <c r="U505" s="694">
        <f t="shared" si="210"/>
        <v>400979</v>
      </c>
      <c r="V505" s="698">
        <f t="shared" si="211"/>
        <v>415795</v>
      </c>
      <c r="W505" s="679"/>
      <c r="X505" s="678"/>
      <c r="Y505" s="679"/>
      <c r="Z505" s="678"/>
      <c r="AA505" s="679"/>
      <c r="AB505" s="678"/>
      <c r="AC505" s="679"/>
      <c r="AD505" s="678"/>
      <c r="AE505" s="694">
        <f t="shared" si="212"/>
        <v>0</v>
      </c>
      <c r="AF505" s="695">
        <f t="shared" si="188"/>
        <v>0</v>
      </c>
      <c r="AG505" s="696">
        <f t="shared" si="213"/>
        <v>0</v>
      </c>
      <c r="AH505" s="697">
        <f t="shared" si="189"/>
        <v>0</v>
      </c>
      <c r="AI505" s="679"/>
      <c r="AJ505" s="678"/>
      <c r="AK505" s="694">
        <f t="shared" si="214"/>
        <v>0</v>
      </c>
      <c r="AL505" s="698">
        <f t="shared" si="215"/>
        <v>0</v>
      </c>
      <c r="AM505" s="679"/>
      <c r="AN505" s="678"/>
      <c r="AO505" s="679">
        <v>34759</v>
      </c>
      <c r="AP505" s="678">
        <v>34620</v>
      </c>
      <c r="AQ505" s="679">
        <v>6635</v>
      </c>
      <c r="AR505" s="678">
        <v>8873</v>
      </c>
      <c r="AS505" s="679">
        <v>35138</v>
      </c>
      <c r="AT505" s="678">
        <v>38064</v>
      </c>
      <c r="AU505" s="699">
        <f t="shared" si="190"/>
        <v>76532</v>
      </c>
      <c r="AV505" s="695">
        <f t="shared" si="176"/>
        <v>3188.8333333333335</v>
      </c>
      <c r="AW505" s="696">
        <f t="shared" si="191"/>
        <v>81557</v>
      </c>
      <c r="AX505" s="697">
        <f t="shared" si="192"/>
        <v>3398.2083333333335</v>
      </c>
      <c r="AY505" s="700">
        <f t="shared" si="216"/>
        <v>16554.8</v>
      </c>
      <c r="AZ505" s="697">
        <f t="shared" si="217"/>
        <v>17258.041666666668</v>
      </c>
      <c r="BA505" s="680"/>
    </row>
    <row r="506" spans="1:53">
      <c r="A506" s="514" t="s">
        <v>227</v>
      </c>
      <c r="B506" s="296" t="s">
        <v>228</v>
      </c>
      <c r="C506" s="289">
        <v>221759</v>
      </c>
      <c r="D506" s="299">
        <v>1</v>
      </c>
      <c r="E506" s="148" t="s">
        <v>393</v>
      </c>
      <c r="F506" s="149" t="s">
        <v>393</v>
      </c>
      <c r="G506" s="679"/>
      <c r="H506" s="678"/>
      <c r="I506" s="679">
        <v>279645</v>
      </c>
      <c r="J506" s="678">
        <v>284467</v>
      </c>
      <c r="K506" s="679">
        <v>35190</v>
      </c>
      <c r="L506" s="678">
        <v>34034</v>
      </c>
      <c r="M506" s="679">
        <v>306235</v>
      </c>
      <c r="N506" s="678">
        <v>296219</v>
      </c>
      <c r="O506" s="694">
        <f t="shared" si="208"/>
        <v>621070</v>
      </c>
      <c r="P506" s="695">
        <f t="shared" si="193"/>
        <v>20702.333333333332</v>
      </c>
      <c r="Q506" s="696">
        <f t="shared" si="209"/>
        <v>614720</v>
      </c>
      <c r="R506" s="697">
        <f t="shared" si="187"/>
        <v>20490.666666666668</v>
      </c>
      <c r="S506" s="679">
        <v>837</v>
      </c>
      <c r="T506" s="678">
        <v>262</v>
      </c>
      <c r="U506" s="694">
        <f t="shared" si="210"/>
        <v>621070</v>
      </c>
      <c r="V506" s="698">
        <f t="shared" si="211"/>
        <v>614720</v>
      </c>
      <c r="W506" s="679"/>
      <c r="X506" s="678"/>
      <c r="Y506" s="679"/>
      <c r="Z506" s="678"/>
      <c r="AA506" s="679"/>
      <c r="AB506" s="678"/>
      <c r="AC506" s="679"/>
      <c r="AD506" s="678"/>
      <c r="AE506" s="694">
        <f t="shared" si="212"/>
        <v>0</v>
      </c>
      <c r="AF506" s="695">
        <f t="shared" si="188"/>
        <v>0</v>
      </c>
      <c r="AG506" s="696">
        <f t="shared" si="213"/>
        <v>0</v>
      </c>
      <c r="AH506" s="697">
        <f t="shared" si="189"/>
        <v>0</v>
      </c>
      <c r="AI506" s="679"/>
      <c r="AJ506" s="678"/>
      <c r="AK506" s="694">
        <f t="shared" si="214"/>
        <v>0</v>
      </c>
      <c r="AL506" s="698">
        <f t="shared" si="215"/>
        <v>0</v>
      </c>
      <c r="AM506" s="679"/>
      <c r="AN506" s="678"/>
      <c r="AO506" s="679">
        <v>49425</v>
      </c>
      <c r="AP506" s="678">
        <v>49314</v>
      </c>
      <c r="AQ506" s="679">
        <v>18019</v>
      </c>
      <c r="AR506" s="678">
        <v>18214</v>
      </c>
      <c r="AS506" s="679">
        <v>54913</v>
      </c>
      <c r="AT506" s="678">
        <v>53594</v>
      </c>
      <c r="AU506" s="699">
        <f t="shared" si="190"/>
        <v>122357</v>
      </c>
      <c r="AV506" s="695">
        <f t="shared" si="176"/>
        <v>5098.208333333333</v>
      </c>
      <c r="AW506" s="696">
        <f t="shared" si="191"/>
        <v>121122</v>
      </c>
      <c r="AX506" s="697">
        <f t="shared" si="192"/>
        <v>5046.75</v>
      </c>
      <c r="AY506" s="700">
        <f t="shared" si="216"/>
        <v>25800.541666666664</v>
      </c>
      <c r="AZ506" s="697">
        <f t="shared" si="217"/>
        <v>25537.416666666668</v>
      </c>
      <c r="BA506" s="680"/>
    </row>
    <row r="507" spans="1:53">
      <c r="A507" s="514" t="s">
        <v>227</v>
      </c>
      <c r="B507" s="296" t="s">
        <v>230</v>
      </c>
      <c r="C507" s="289">
        <v>220075</v>
      </c>
      <c r="D507" s="299">
        <v>3</v>
      </c>
      <c r="E507" s="148" t="s">
        <v>393</v>
      </c>
      <c r="F507" s="149" t="s">
        <v>393</v>
      </c>
      <c r="G507" s="679"/>
      <c r="H507" s="678"/>
      <c r="I507" s="679">
        <v>128373</v>
      </c>
      <c r="J507" s="678">
        <v>133688</v>
      </c>
      <c r="K507" s="679">
        <v>22086</v>
      </c>
      <c r="L507" s="678">
        <v>22786</v>
      </c>
      <c r="M507" s="679">
        <v>144891</v>
      </c>
      <c r="N507" s="678">
        <v>153124</v>
      </c>
      <c r="O507" s="694">
        <f t="shared" si="208"/>
        <v>295350</v>
      </c>
      <c r="P507" s="695">
        <f t="shared" si="193"/>
        <v>9845</v>
      </c>
      <c r="Q507" s="696">
        <f t="shared" si="209"/>
        <v>309598</v>
      </c>
      <c r="R507" s="697">
        <f t="shared" si="187"/>
        <v>10319.933333333332</v>
      </c>
      <c r="S507" s="679">
        <v>1280</v>
      </c>
      <c r="T507" s="678">
        <v>1382</v>
      </c>
      <c r="U507" s="694">
        <f t="shared" si="210"/>
        <v>295350</v>
      </c>
      <c r="V507" s="698">
        <f t="shared" si="211"/>
        <v>309598</v>
      </c>
      <c r="W507" s="679"/>
      <c r="X507" s="678"/>
      <c r="Y507" s="679"/>
      <c r="Z507" s="678"/>
      <c r="AA507" s="679"/>
      <c r="AB507" s="678"/>
      <c r="AC507" s="679"/>
      <c r="AD507" s="678"/>
      <c r="AE507" s="694">
        <f t="shared" si="212"/>
        <v>0</v>
      </c>
      <c r="AF507" s="695">
        <f t="shared" si="188"/>
        <v>0</v>
      </c>
      <c r="AG507" s="696">
        <f t="shared" si="213"/>
        <v>0</v>
      </c>
      <c r="AH507" s="697">
        <f t="shared" si="189"/>
        <v>0</v>
      </c>
      <c r="AI507" s="679"/>
      <c r="AJ507" s="678"/>
      <c r="AK507" s="694">
        <f t="shared" si="214"/>
        <v>0</v>
      </c>
      <c r="AL507" s="698">
        <f t="shared" si="215"/>
        <v>0</v>
      </c>
      <c r="AM507" s="679"/>
      <c r="AN507" s="678"/>
      <c r="AO507" s="679">
        <v>16054</v>
      </c>
      <c r="AP507" s="678">
        <v>17057</v>
      </c>
      <c r="AQ507" s="679">
        <v>6515</v>
      </c>
      <c r="AR507" s="678">
        <v>7529</v>
      </c>
      <c r="AS507" s="679">
        <v>17495</v>
      </c>
      <c r="AT507" s="678">
        <v>18221</v>
      </c>
      <c r="AU507" s="699">
        <f t="shared" si="190"/>
        <v>40064</v>
      </c>
      <c r="AV507" s="695">
        <f t="shared" si="176"/>
        <v>1669.3333333333333</v>
      </c>
      <c r="AW507" s="696">
        <f t="shared" si="191"/>
        <v>42807</v>
      </c>
      <c r="AX507" s="697">
        <f t="shared" si="192"/>
        <v>1783.625</v>
      </c>
      <c r="AY507" s="700">
        <f t="shared" si="216"/>
        <v>11514.333333333334</v>
      </c>
      <c r="AZ507" s="697">
        <f t="shared" si="217"/>
        <v>12103.558333333332</v>
      </c>
      <c r="BA507" s="680"/>
    </row>
    <row r="508" spans="1:53">
      <c r="A508" s="514" t="s">
        <v>227</v>
      </c>
      <c r="B508" s="296" t="s">
        <v>231</v>
      </c>
      <c r="C508" s="289">
        <v>220978</v>
      </c>
      <c r="D508" s="299">
        <v>3</v>
      </c>
      <c r="E508" s="148" t="s">
        <v>393</v>
      </c>
      <c r="F508" s="149" t="s">
        <v>393</v>
      </c>
      <c r="G508" s="679"/>
      <c r="H508" s="678"/>
      <c r="I508" s="679">
        <v>250712</v>
      </c>
      <c r="J508" s="678">
        <v>258527</v>
      </c>
      <c r="K508" s="679">
        <v>41456</v>
      </c>
      <c r="L508" s="678">
        <v>42199</v>
      </c>
      <c r="M508" s="679">
        <v>280002</v>
      </c>
      <c r="N508" s="678">
        <v>291858</v>
      </c>
      <c r="O508" s="694">
        <f t="shared" si="208"/>
        <v>572170</v>
      </c>
      <c r="P508" s="695">
        <f t="shared" si="193"/>
        <v>19072.333333333332</v>
      </c>
      <c r="Q508" s="696">
        <f t="shared" si="209"/>
        <v>592584</v>
      </c>
      <c r="R508" s="697">
        <f t="shared" si="187"/>
        <v>19752.8</v>
      </c>
      <c r="S508" s="679">
        <v>1463</v>
      </c>
      <c r="T508" s="678">
        <v>1579</v>
      </c>
      <c r="U508" s="694">
        <f t="shared" si="210"/>
        <v>572170</v>
      </c>
      <c r="V508" s="698">
        <f t="shared" si="211"/>
        <v>592584</v>
      </c>
      <c r="W508" s="679"/>
      <c r="X508" s="678"/>
      <c r="Y508" s="679"/>
      <c r="Z508" s="678"/>
      <c r="AA508" s="679"/>
      <c r="AB508" s="678"/>
      <c r="AC508" s="679"/>
      <c r="AD508" s="678"/>
      <c r="AE508" s="694">
        <f t="shared" si="212"/>
        <v>0</v>
      </c>
      <c r="AF508" s="695">
        <f t="shared" si="188"/>
        <v>0</v>
      </c>
      <c r="AG508" s="696">
        <f t="shared" si="213"/>
        <v>0</v>
      </c>
      <c r="AH508" s="697">
        <f t="shared" si="189"/>
        <v>0</v>
      </c>
      <c r="AI508" s="679"/>
      <c r="AJ508" s="678"/>
      <c r="AK508" s="694">
        <f t="shared" si="214"/>
        <v>0</v>
      </c>
      <c r="AL508" s="698">
        <f t="shared" si="215"/>
        <v>0</v>
      </c>
      <c r="AM508" s="679"/>
      <c r="AN508" s="678"/>
      <c r="AO508" s="679">
        <v>13997</v>
      </c>
      <c r="AP508" s="678">
        <v>16716</v>
      </c>
      <c r="AQ508" s="679">
        <v>7583</v>
      </c>
      <c r="AR508" s="678">
        <v>9683</v>
      </c>
      <c r="AS508" s="679">
        <v>16762</v>
      </c>
      <c r="AT508" s="678">
        <v>19107</v>
      </c>
      <c r="AU508" s="699">
        <f t="shared" si="190"/>
        <v>38342</v>
      </c>
      <c r="AV508" s="695">
        <f t="shared" si="176"/>
        <v>1597.5833333333333</v>
      </c>
      <c r="AW508" s="696">
        <f t="shared" si="191"/>
        <v>45506</v>
      </c>
      <c r="AX508" s="697">
        <f t="shared" si="192"/>
        <v>1896.0833333333333</v>
      </c>
      <c r="AY508" s="700">
        <f t="shared" si="216"/>
        <v>20669.916666666664</v>
      </c>
      <c r="AZ508" s="697">
        <f t="shared" si="217"/>
        <v>21648.883333333331</v>
      </c>
      <c r="BA508" s="680"/>
    </row>
    <row r="509" spans="1:53">
      <c r="A509" s="514" t="s">
        <v>227</v>
      </c>
      <c r="B509" s="296" t="s">
        <v>232</v>
      </c>
      <c r="C509" s="289">
        <v>221838</v>
      </c>
      <c r="D509" s="299">
        <v>3</v>
      </c>
      <c r="E509" s="148" t="s">
        <v>393</v>
      </c>
      <c r="F509" s="149" t="s">
        <v>393</v>
      </c>
      <c r="G509" s="679"/>
      <c r="H509" s="678"/>
      <c r="I509" s="679">
        <v>87569</v>
      </c>
      <c r="J509" s="678">
        <v>79915</v>
      </c>
      <c r="K509" s="679">
        <v>9895</v>
      </c>
      <c r="L509" s="678">
        <v>10151</v>
      </c>
      <c r="M509" s="679">
        <v>84732</v>
      </c>
      <c r="N509" s="678">
        <v>87718</v>
      </c>
      <c r="O509" s="694">
        <f t="shared" si="208"/>
        <v>182196</v>
      </c>
      <c r="P509" s="695">
        <f t="shared" si="193"/>
        <v>6073.2</v>
      </c>
      <c r="Q509" s="696">
        <f t="shared" si="209"/>
        <v>177784</v>
      </c>
      <c r="R509" s="697">
        <f t="shared" si="187"/>
        <v>5926.1333333333332</v>
      </c>
      <c r="S509" s="679">
        <v>0</v>
      </c>
      <c r="T509" s="678">
        <v>0</v>
      </c>
      <c r="U509" s="694">
        <f t="shared" si="210"/>
        <v>182196</v>
      </c>
      <c r="V509" s="698">
        <f t="shared" si="211"/>
        <v>177784</v>
      </c>
      <c r="W509" s="679"/>
      <c r="X509" s="678"/>
      <c r="Y509" s="679"/>
      <c r="Z509" s="678"/>
      <c r="AA509" s="679"/>
      <c r="AB509" s="678"/>
      <c r="AC509" s="679"/>
      <c r="AD509" s="678"/>
      <c r="AE509" s="694">
        <f t="shared" si="212"/>
        <v>0</v>
      </c>
      <c r="AF509" s="695">
        <f t="shared" si="188"/>
        <v>0</v>
      </c>
      <c r="AG509" s="696">
        <f t="shared" si="213"/>
        <v>0</v>
      </c>
      <c r="AH509" s="697">
        <f t="shared" si="189"/>
        <v>0</v>
      </c>
      <c r="AI509" s="679"/>
      <c r="AJ509" s="678"/>
      <c r="AK509" s="694">
        <f t="shared" si="214"/>
        <v>0</v>
      </c>
      <c r="AL509" s="698">
        <f t="shared" si="215"/>
        <v>0</v>
      </c>
      <c r="AM509" s="679"/>
      <c r="AN509" s="678"/>
      <c r="AO509" s="679">
        <v>13161</v>
      </c>
      <c r="AP509" s="678">
        <v>12676</v>
      </c>
      <c r="AQ509" s="679">
        <v>5730</v>
      </c>
      <c r="AR509" s="678">
        <v>6174</v>
      </c>
      <c r="AS509" s="679">
        <v>12548</v>
      </c>
      <c r="AT509" s="678">
        <v>14129</v>
      </c>
      <c r="AU509" s="699">
        <f t="shared" si="190"/>
        <v>31439</v>
      </c>
      <c r="AV509" s="695">
        <f t="shared" si="176"/>
        <v>1309.9583333333333</v>
      </c>
      <c r="AW509" s="696">
        <f t="shared" si="191"/>
        <v>32979</v>
      </c>
      <c r="AX509" s="697">
        <f t="shared" si="192"/>
        <v>1374.125</v>
      </c>
      <c r="AY509" s="700">
        <f t="shared" si="216"/>
        <v>7383.1583333333328</v>
      </c>
      <c r="AZ509" s="697">
        <f t="shared" si="217"/>
        <v>7300.2583333333332</v>
      </c>
      <c r="BA509" s="680"/>
    </row>
    <row r="510" spans="1:53">
      <c r="A510" s="514" t="s">
        <v>227</v>
      </c>
      <c r="B510" s="547" t="s">
        <v>235</v>
      </c>
      <c r="C510" s="548">
        <v>221847</v>
      </c>
      <c r="D510" s="473">
        <v>3</v>
      </c>
      <c r="E510" s="148" t="s">
        <v>393</v>
      </c>
      <c r="F510" s="149" t="s">
        <v>393</v>
      </c>
      <c r="G510" s="679"/>
      <c r="H510" s="678"/>
      <c r="I510" s="679">
        <v>100323</v>
      </c>
      <c r="J510" s="678">
        <v>104543</v>
      </c>
      <c r="K510" s="679">
        <v>10467</v>
      </c>
      <c r="L510" s="678">
        <v>10139</v>
      </c>
      <c r="M510" s="679">
        <v>113274</v>
      </c>
      <c r="N510" s="678">
        <v>121297</v>
      </c>
      <c r="O510" s="694">
        <f t="shared" si="208"/>
        <v>224064</v>
      </c>
      <c r="P510" s="695">
        <f t="shared" si="193"/>
        <v>7468.8</v>
      </c>
      <c r="Q510" s="696">
        <f t="shared" si="209"/>
        <v>235979</v>
      </c>
      <c r="R510" s="697">
        <f t="shared" si="187"/>
        <v>7865.9666666666662</v>
      </c>
      <c r="S510" s="679">
        <v>341</v>
      </c>
      <c r="T510" s="678">
        <v>913</v>
      </c>
      <c r="U510" s="694">
        <f t="shared" si="210"/>
        <v>224064</v>
      </c>
      <c r="V510" s="698">
        <f t="shared" si="211"/>
        <v>235979</v>
      </c>
      <c r="W510" s="679"/>
      <c r="X510" s="678"/>
      <c r="Y510" s="679"/>
      <c r="Z510" s="678"/>
      <c r="AA510" s="679"/>
      <c r="AB510" s="678"/>
      <c r="AC510" s="679"/>
      <c r="AD510" s="678"/>
      <c r="AE510" s="694">
        <f t="shared" si="212"/>
        <v>0</v>
      </c>
      <c r="AF510" s="695">
        <f t="shared" si="188"/>
        <v>0</v>
      </c>
      <c r="AG510" s="696">
        <f t="shared" si="213"/>
        <v>0</v>
      </c>
      <c r="AH510" s="697">
        <f t="shared" si="189"/>
        <v>0</v>
      </c>
      <c r="AI510" s="679"/>
      <c r="AJ510" s="678"/>
      <c r="AK510" s="694">
        <f t="shared" si="214"/>
        <v>0</v>
      </c>
      <c r="AL510" s="698">
        <f t="shared" si="215"/>
        <v>0</v>
      </c>
      <c r="AM510" s="679"/>
      <c r="AN510" s="678"/>
      <c r="AO510" s="679">
        <v>11392</v>
      </c>
      <c r="AP510" s="678">
        <v>11420</v>
      </c>
      <c r="AQ510" s="679">
        <v>7587</v>
      </c>
      <c r="AR510" s="678">
        <v>6051</v>
      </c>
      <c r="AS510" s="679">
        <v>12194</v>
      </c>
      <c r="AT510" s="678">
        <v>11647</v>
      </c>
      <c r="AU510" s="699">
        <f t="shared" si="190"/>
        <v>31173</v>
      </c>
      <c r="AV510" s="695">
        <f t="shared" si="176"/>
        <v>1298.875</v>
      </c>
      <c r="AW510" s="696">
        <f t="shared" si="191"/>
        <v>29118</v>
      </c>
      <c r="AX510" s="697">
        <f t="shared" si="192"/>
        <v>1213.25</v>
      </c>
      <c r="AY510" s="700">
        <f t="shared" si="216"/>
        <v>8767.6749999999993</v>
      </c>
      <c r="AZ510" s="697">
        <f t="shared" si="217"/>
        <v>9079.2166666666672</v>
      </c>
      <c r="BA510" s="680"/>
    </row>
    <row r="511" spans="1:53">
      <c r="A511" s="514" t="s">
        <v>227</v>
      </c>
      <c r="B511" s="296" t="s">
        <v>233</v>
      </c>
      <c r="C511" s="289">
        <v>221740</v>
      </c>
      <c r="D511" s="299">
        <v>3</v>
      </c>
      <c r="E511" s="148" t="s">
        <v>393</v>
      </c>
      <c r="F511" s="149" t="s">
        <v>393</v>
      </c>
      <c r="G511" s="679"/>
      <c r="H511" s="678"/>
      <c r="I511" s="679">
        <v>97708</v>
      </c>
      <c r="J511" s="678">
        <v>102872</v>
      </c>
      <c r="K511" s="679">
        <v>15424</v>
      </c>
      <c r="L511" s="678">
        <v>14604</v>
      </c>
      <c r="M511" s="679">
        <v>113440</v>
      </c>
      <c r="N511" s="678">
        <v>122716</v>
      </c>
      <c r="O511" s="694">
        <f t="shared" si="208"/>
        <v>226572</v>
      </c>
      <c r="P511" s="695">
        <f t="shared" si="193"/>
        <v>7552.4</v>
      </c>
      <c r="Q511" s="696">
        <f t="shared" si="209"/>
        <v>240192</v>
      </c>
      <c r="R511" s="697">
        <f t="shared" si="187"/>
        <v>8006.4</v>
      </c>
      <c r="S511" s="679">
        <v>421</v>
      </c>
      <c r="T511" s="678">
        <v>455</v>
      </c>
      <c r="U511" s="694">
        <f t="shared" si="210"/>
        <v>226572</v>
      </c>
      <c r="V511" s="698">
        <f t="shared" si="211"/>
        <v>240192</v>
      </c>
      <c r="W511" s="679"/>
      <c r="X511" s="678"/>
      <c r="Y511" s="679"/>
      <c r="Z511" s="678"/>
      <c r="AA511" s="679"/>
      <c r="AB511" s="678"/>
      <c r="AC511" s="679"/>
      <c r="AD511" s="678"/>
      <c r="AE511" s="694">
        <f t="shared" si="212"/>
        <v>0</v>
      </c>
      <c r="AF511" s="695">
        <f t="shared" si="188"/>
        <v>0</v>
      </c>
      <c r="AG511" s="696">
        <f t="shared" si="213"/>
        <v>0</v>
      </c>
      <c r="AH511" s="697">
        <f t="shared" si="189"/>
        <v>0</v>
      </c>
      <c r="AI511" s="679"/>
      <c r="AJ511" s="678"/>
      <c r="AK511" s="694">
        <f t="shared" si="214"/>
        <v>0</v>
      </c>
      <c r="AL511" s="698">
        <f t="shared" si="215"/>
        <v>0</v>
      </c>
      <c r="AM511" s="679"/>
      <c r="AN511" s="678"/>
      <c r="AO511" s="679">
        <v>9407</v>
      </c>
      <c r="AP511" s="678">
        <v>9796</v>
      </c>
      <c r="AQ511" s="679">
        <v>5857</v>
      </c>
      <c r="AR511" s="678">
        <v>5845</v>
      </c>
      <c r="AS511" s="679">
        <v>10601</v>
      </c>
      <c r="AT511" s="678">
        <v>11222</v>
      </c>
      <c r="AU511" s="699">
        <f t="shared" si="190"/>
        <v>25865</v>
      </c>
      <c r="AV511" s="695">
        <f t="shared" si="176"/>
        <v>1077.7083333333333</v>
      </c>
      <c r="AW511" s="696">
        <f t="shared" si="191"/>
        <v>26863</v>
      </c>
      <c r="AX511" s="697">
        <f t="shared" si="192"/>
        <v>1119.2916666666667</v>
      </c>
      <c r="AY511" s="700">
        <f t="shared" si="216"/>
        <v>8630.1083333333336</v>
      </c>
      <c r="AZ511" s="697">
        <f t="shared" si="217"/>
        <v>9125.6916666666657</v>
      </c>
      <c r="BA511" s="680"/>
    </row>
    <row r="512" spans="1:53">
      <c r="A512" s="514" t="s">
        <v>227</v>
      </c>
      <c r="B512" s="296" t="s">
        <v>234</v>
      </c>
      <c r="C512" s="289">
        <v>219602</v>
      </c>
      <c r="D512" s="299">
        <v>4</v>
      </c>
      <c r="E512" s="148" t="s">
        <v>393</v>
      </c>
      <c r="F512" s="149" t="s">
        <v>393</v>
      </c>
      <c r="G512" s="679"/>
      <c r="H512" s="678"/>
      <c r="I512" s="679">
        <v>90711</v>
      </c>
      <c r="J512" s="678">
        <v>92053</v>
      </c>
      <c r="K512" s="679">
        <v>20505</v>
      </c>
      <c r="L512" s="678">
        <v>18249</v>
      </c>
      <c r="M512" s="679">
        <v>105826</v>
      </c>
      <c r="N512" s="678">
        <v>112514</v>
      </c>
      <c r="O512" s="694">
        <f t="shared" si="208"/>
        <v>217042</v>
      </c>
      <c r="P512" s="695">
        <f t="shared" si="193"/>
        <v>7234.7333333333336</v>
      </c>
      <c r="Q512" s="696">
        <f t="shared" si="209"/>
        <v>222816</v>
      </c>
      <c r="R512" s="697">
        <f t="shared" si="187"/>
        <v>7427.2</v>
      </c>
      <c r="S512" s="679">
        <v>975</v>
      </c>
      <c r="T512" s="678">
        <v>1469</v>
      </c>
      <c r="U512" s="694">
        <f t="shared" si="210"/>
        <v>217042</v>
      </c>
      <c r="V512" s="698">
        <f t="shared" si="211"/>
        <v>222816</v>
      </c>
      <c r="W512" s="679"/>
      <c r="X512" s="678"/>
      <c r="Y512" s="679"/>
      <c r="Z512" s="678"/>
      <c r="AA512" s="679"/>
      <c r="AB512" s="678"/>
      <c r="AC512" s="679"/>
      <c r="AD512" s="678"/>
      <c r="AE512" s="694">
        <f t="shared" si="212"/>
        <v>0</v>
      </c>
      <c r="AF512" s="695">
        <f t="shared" si="188"/>
        <v>0</v>
      </c>
      <c r="AG512" s="696">
        <f t="shared" si="213"/>
        <v>0</v>
      </c>
      <c r="AH512" s="697">
        <f t="shared" si="189"/>
        <v>0</v>
      </c>
      <c r="AI512" s="679"/>
      <c r="AJ512" s="678"/>
      <c r="AK512" s="694">
        <f t="shared" si="214"/>
        <v>0</v>
      </c>
      <c r="AL512" s="698">
        <f t="shared" si="215"/>
        <v>0</v>
      </c>
      <c r="AM512" s="679"/>
      <c r="AN512" s="678"/>
      <c r="AO512" s="679">
        <v>5611</v>
      </c>
      <c r="AP512" s="678">
        <v>5138</v>
      </c>
      <c r="AQ512" s="679">
        <v>2472</v>
      </c>
      <c r="AR512" s="678">
        <v>2375</v>
      </c>
      <c r="AS512" s="679">
        <v>5326</v>
      </c>
      <c r="AT512" s="678">
        <v>6020</v>
      </c>
      <c r="AU512" s="699">
        <f t="shared" si="190"/>
        <v>13409</v>
      </c>
      <c r="AV512" s="695">
        <f t="shared" si="176"/>
        <v>558.70833333333337</v>
      </c>
      <c r="AW512" s="696">
        <f t="shared" si="191"/>
        <v>13533</v>
      </c>
      <c r="AX512" s="697">
        <f t="shared" si="192"/>
        <v>563.875</v>
      </c>
      <c r="AY512" s="700">
        <f t="shared" si="216"/>
        <v>7793.4416666666666</v>
      </c>
      <c r="AZ512" s="697">
        <f t="shared" si="217"/>
        <v>7991.0749999999998</v>
      </c>
      <c r="BA512" s="680"/>
    </row>
    <row r="513" spans="1:53">
      <c r="A513" s="514" t="s">
        <v>227</v>
      </c>
      <c r="B513" s="296" t="s">
        <v>236</v>
      </c>
      <c r="C513" s="289">
        <v>221768</v>
      </c>
      <c r="D513" s="299">
        <v>5</v>
      </c>
      <c r="E513" s="148" t="s">
        <v>393</v>
      </c>
      <c r="F513" s="149" t="s">
        <v>393</v>
      </c>
      <c r="G513" s="679"/>
      <c r="H513" s="678"/>
      <c r="I513" s="679">
        <v>82532</v>
      </c>
      <c r="J513" s="678">
        <v>85665</v>
      </c>
      <c r="K513" s="679">
        <v>10712</v>
      </c>
      <c r="L513" s="678">
        <v>11184</v>
      </c>
      <c r="M513" s="679">
        <v>91420</v>
      </c>
      <c r="N513" s="678">
        <v>96898</v>
      </c>
      <c r="O513" s="694">
        <f t="shared" si="208"/>
        <v>184664</v>
      </c>
      <c r="P513" s="695">
        <f t="shared" si="193"/>
        <v>6155.4666666666662</v>
      </c>
      <c r="Q513" s="696">
        <f t="shared" si="209"/>
        <v>193747</v>
      </c>
      <c r="R513" s="697">
        <f t="shared" si="187"/>
        <v>6458.2333333333336</v>
      </c>
      <c r="S513" s="679">
        <v>6044</v>
      </c>
      <c r="T513" s="678">
        <v>6613</v>
      </c>
      <c r="U513" s="694">
        <f t="shared" si="210"/>
        <v>184664</v>
      </c>
      <c r="V513" s="698">
        <f t="shared" si="211"/>
        <v>193747</v>
      </c>
      <c r="W513" s="679"/>
      <c r="X513" s="678"/>
      <c r="Y513" s="679"/>
      <c r="Z513" s="678"/>
      <c r="AA513" s="679"/>
      <c r="AB513" s="678"/>
      <c r="AC513" s="679"/>
      <c r="AD513" s="678"/>
      <c r="AE513" s="694">
        <f t="shared" si="212"/>
        <v>0</v>
      </c>
      <c r="AF513" s="695">
        <f t="shared" si="188"/>
        <v>0</v>
      </c>
      <c r="AG513" s="696">
        <f t="shared" si="213"/>
        <v>0</v>
      </c>
      <c r="AH513" s="697">
        <f t="shared" si="189"/>
        <v>0</v>
      </c>
      <c r="AI513" s="679"/>
      <c r="AJ513" s="678"/>
      <c r="AK513" s="694">
        <f t="shared" si="214"/>
        <v>0</v>
      </c>
      <c r="AL513" s="698">
        <f t="shared" si="215"/>
        <v>0</v>
      </c>
      <c r="AM513" s="679"/>
      <c r="AN513" s="678"/>
      <c r="AO513" s="679">
        <v>2223</v>
      </c>
      <c r="AP513" s="678">
        <v>2591</v>
      </c>
      <c r="AQ513" s="679">
        <v>1523</v>
      </c>
      <c r="AR513" s="678">
        <v>2170</v>
      </c>
      <c r="AS513" s="679">
        <v>2528</v>
      </c>
      <c r="AT513" s="678">
        <v>3047</v>
      </c>
      <c r="AU513" s="699">
        <f t="shared" si="190"/>
        <v>6274</v>
      </c>
      <c r="AV513" s="695">
        <f t="shared" si="176"/>
        <v>261.41666666666669</v>
      </c>
      <c r="AW513" s="696">
        <f t="shared" si="191"/>
        <v>7808</v>
      </c>
      <c r="AX513" s="697">
        <f t="shared" si="192"/>
        <v>325.33333333333331</v>
      </c>
      <c r="AY513" s="700">
        <f t="shared" si="216"/>
        <v>6416.8833333333332</v>
      </c>
      <c r="AZ513" s="697">
        <f t="shared" si="217"/>
        <v>6783.5666666666666</v>
      </c>
      <c r="BA513" s="680"/>
    </row>
    <row r="514" spans="1:53">
      <c r="A514" s="514" t="s">
        <v>227</v>
      </c>
      <c r="B514" s="296" t="s">
        <v>237</v>
      </c>
      <c r="C514" s="289">
        <v>219824</v>
      </c>
      <c r="D514" s="299">
        <v>8</v>
      </c>
      <c r="E514" s="148" t="s">
        <v>393</v>
      </c>
      <c r="F514" s="149" t="s">
        <v>393</v>
      </c>
      <c r="G514" s="679"/>
      <c r="H514" s="678"/>
      <c r="I514" s="679">
        <v>66587</v>
      </c>
      <c r="J514" s="678">
        <v>76909</v>
      </c>
      <c r="K514" s="679">
        <v>13892</v>
      </c>
      <c r="L514" s="678">
        <v>16208</v>
      </c>
      <c r="M514" s="679">
        <v>80011</v>
      </c>
      <c r="N514" s="678">
        <v>89809</v>
      </c>
      <c r="O514" s="694">
        <f t="shared" si="208"/>
        <v>160490</v>
      </c>
      <c r="P514" s="695">
        <f t="shared" si="193"/>
        <v>5349.666666666667</v>
      </c>
      <c r="Q514" s="696">
        <f t="shared" si="209"/>
        <v>182926</v>
      </c>
      <c r="R514" s="697">
        <f t="shared" si="187"/>
        <v>6097.5333333333338</v>
      </c>
      <c r="S514" s="679">
        <v>10495</v>
      </c>
      <c r="T514" s="678">
        <v>10335</v>
      </c>
      <c r="U514" s="694">
        <f t="shared" si="210"/>
        <v>160490</v>
      </c>
      <c r="V514" s="698">
        <f t="shared" si="211"/>
        <v>182926</v>
      </c>
      <c r="W514" s="679"/>
      <c r="X514" s="678"/>
      <c r="Y514" s="679"/>
      <c r="Z514" s="678"/>
      <c r="AA514" s="679"/>
      <c r="AB514" s="678"/>
      <c r="AC514" s="679"/>
      <c r="AD514" s="678"/>
      <c r="AE514" s="694">
        <f t="shared" si="212"/>
        <v>0</v>
      </c>
      <c r="AF514" s="695">
        <f t="shared" si="188"/>
        <v>0</v>
      </c>
      <c r="AG514" s="696">
        <f t="shared" si="213"/>
        <v>0</v>
      </c>
      <c r="AH514" s="697">
        <f t="shared" si="189"/>
        <v>0</v>
      </c>
      <c r="AI514" s="679"/>
      <c r="AJ514" s="678"/>
      <c r="AK514" s="694">
        <f t="shared" si="214"/>
        <v>0</v>
      </c>
      <c r="AL514" s="698">
        <f t="shared" si="215"/>
        <v>0</v>
      </c>
      <c r="AM514" s="679"/>
      <c r="AN514" s="678"/>
      <c r="AO514" s="679"/>
      <c r="AP514" s="678"/>
      <c r="AQ514" s="679"/>
      <c r="AR514" s="678"/>
      <c r="AS514" s="679"/>
      <c r="AT514" s="678"/>
      <c r="AU514" s="699">
        <f t="shared" si="190"/>
        <v>0</v>
      </c>
      <c r="AV514" s="695">
        <f t="shared" si="176"/>
        <v>0</v>
      </c>
      <c r="AW514" s="696">
        <f t="shared" si="191"/>
        <v>0</v>
      </c>
      <c r="AX514" s="697">
        <f t="shared" si="192"/>
        <v>0</v>
      </c>
      <c r="AY514" s="700">
        <f t="shared" si="216"/>
        <v>5349.666666666667</v>
      </c>
      <c r="AZ514" s="697">
        <f t="shared" si="217"/>
        <v>6097.5333333333338</v>
      </c>
      <c r="BA514" s="680"/>
    </row>
    <row r="515" spans="1:53">
      <c r="A515" s="514" t="s">
        <v>227</v>
      </c>
      <c r="B515" s="296" t="s">
        <v>238</v>
      </c>
      <c r="C515" s="289">
        <v>221643</v>
      </c>
      <c r="D515" s="299">
        <v>8</v>
      </c>
      <c r="E515" s="148" t="s">
        <v>393</v>
      </c>
      <c r="F515" s="149" t="s">
        <v>393</v>
      </c>
      <c r="G515" s="679"/>
      <c r="H515" s="678"/>
      <c r="I515" s="679">
        <v>78038</v>
      </c>
      <c r="J515" s="678">
        <v>81902</v>
      </c>
      <c r="K515" s="679">
        <v>19342</v>
      </c>
      <c r="L515" s="678">
        <v>20427</v>
      </c>
      <c r="M515" s="679">
        <v>85295</v>
      </c>
      <c r="N515" s="678">
        <v>100428</v>
      </c>
      <c r="O515" s="694">
        <f t="shared" si="208"/>
        <v>182675</v>
      </c>
      <c r="P515" s="713">
        <f t="shared" si="193"/>
        <v>6089.166666666667</v>
      </c>
      <c r="Q515" s="696">
        <f t="shared" si="209"/>
        <v>202757</v>
      </c>
      <c r="R515" s="697">
        <f t="shared" si="187"/>
        <v>6758.5666666666666</v>
      </c>
      <c r="S515" s="679">
        <v>3523</v>
      </c>
      <c r="T515" s="678">
        <v>4903</v>
      </c>
      <c r="U515" s="694">
        <f t="shared" si="210"/>
        <v>182675</v>
      </c>
      <c r="V515" s="698">
        <f t="shared" si="211"/>
        <v>202757</v>
      </c>
      <c r="W515" s="679"/>
      <c r="X515" s="678"/>
      <c r="Y515" s="679"/>
      <c r="Z515" s="678"/>
      <c r="AA515" s="679"/>
      <c r="AB515" s="678"/>
      <c r="AC515" s="679"/>
      <c r="AD515" s="678"/>
      <c r="AE515" s="694">
        <f t="shared" si="212"/>
        <v>0</v>
      </c>
      <c r="AF515" s="695">
        <f t="shared" si="188"/>
        <v>0</v>
      </c>
      <c r="AG515" s="696">
        <f t="shared" si="213"/>
        <v>0</v>
      </c>
      <c r="AH515" s="697">
        <f t="shared" si="189"/>
        <v>0</v>
      </c>
      <c r="AI515" s="679"/>
      <c r="AJ515" s="678"/>
      <c r="AK515" s="694">
        <f t="shared" si="214"/>
        <v>0</v>
      </c>
      <c r="AL515" s="698">
        <f t="shared" si="215"/>
        <v>0</v>
      </c>
      <c r="AM515" s="679"/>
      <c r="AN515" s="678"/>
      <c r="AO515" s="679"/>
      <c r="AP515" s="678"/>
      <c r="AQ515" s="679"/>
      <c r="AR515" s="678"/>
      <c r="AS515" s="679"/>
      <c r="AT515" s="678"/>
      <c r="AU515" s="699">
        <f t="shared" si="190"/>
        <v>0</v>
      </c>
      <c r="AV515" s="695">
        <f t="shared" si="176"/>
        <v>0</v>
      </c>
      <c r="AW515" s="696">
        <f t="shared" si="191"/>
        <v>0</v>
      </c>
      <c r="AX515" s="697">
        <f t="shared" si="192"/>
        <v>0</v>
      </c>
      <c r="AY515" s="700">
        <f t="shared" si="216"/>
        <v>6089.166666666667</v>
      </c>
      <c r="AZ515" s="697">
        <f t="shared" si="217"/>
        <v>6758.5666666666666</v>
      </c>
      <c r="BA515" s="680"/>
    </row>
    <row r="516" spans="1:53">
      <c r="A516" s="514" t="s">
        <v>227</v>
      </c>
      <c r="B516" s="296" t="s">
        <v>239</v>
      </c>
      <c r="C516" s="289">
        <v>221485</v>
      </c>
      <c r="D516" s="299">
        <v>8</v>
      </c>
      <c r="E516" s="148" t="s">
        <v>393</v>
      </c>
      <c r="F516" s="149" t="s">
        <v>393</v>
      </c>
      <c r="G516" s="679"/>
      <c r="H516" s="678"/>
      <c r="I516" s="679">
        <v>95628</v>
      </c>
      <c r="J516" s="678">
        <v>105587</v>
      </c>
      <c r="K516" s="679">
        <v>30543</v>
      </c>
      <c r="L516" s="678">
        <v>35042</v>
      </c>
      <c r="M516" s="679">
        <v>108283</v>
      </c>
      <c r="N516" s="678">
        <v>126973</v>
      </c>
      <c r="O516" s="694">
        <f t="shared" si="208"/>
        <v>234454</v>
      </c>
      <c r="P516" s="713">
        <f t="shared" si="193"/>
        <v>7815.1333333333332</v>
      </c>
      <c r="Q516" s="696">
        <f t="shared" si="209"/>
        <v>267602</v>
      </c>
      <c r="R516" s="697">
        <f t="shared" si="187"/>
        <v>8920.0666666666675</v>
      </c>
      <c r="S516" s="679">
        <v>1173</v>
      </c>
      <c r="T516" s="678">
        <v>1585</v>
      </c>
      <c r="U516" s="694">
        <f t="shared" si="210"/>
        <v>234454</v>
      </c>
      <c r="V516" s="698">
        <f t="shared" si="211"/>
        <v>267602</v>
      </c>
      <c r="W516" s="679"/>
      <c r="X516" s="678"/>
      <c r="Y516" s="679"/>
      <c r="Z516" s="678"/>
      <c r="AA516" s="679"/>
      <c r="AB516" s="678"/>
      <c r="AC516" s="679"/>
      <c r="AD516" s="678"/>
      <c r="AE516" s="694">
        <f t="shared" si="212"/>
        <v>0</v>
      </c>
      <c r="AF516" s="695">
        <f t="shared" si="188"/>
        <v>0</v>
      </c>
      <c r="AG516" s="696">
        <f t="shared" si="213"/>
        <v>0</v>
      </c>
      <c r="AH516" s="697">
        <f t="shared" si="189"/>
        <v>0</v>
      </c>
      <c r="AI516" s="679"/>
      <c r="AJ516" s="678"/>
      <c r="AK516" s="694">
        <f t="shared" si="214"/>
        <v>0</v>
      </c>
      <c r="AL516" s="698">
        <f t="shared" si="215"/>
        <v>0</v>
      </c>
      <c r="AM516" s="679"/>
      <c r="AN516" s="678"/>
      <c r="AO516" s="679"/>
      <c r="AP516" s="678"/>
      <c r="AQ516" s="679"/>
      <c r="AR516" s="678"/>
      <c r="AS516" s="679"/>
      <c r="AT516" s="678"/>
      <c r="AU516" s="699">
        <f t="shared" si="190"/>
        <v>0</v>
      </c>
      <c r="AV516" s="695">
        <f t="shared" ref="AV516:AV579" si="218">+AU516/24</f>
        <v>0</v>
      </c>
      <c r="AW516" s="696">
        <f t="shared" si="191"/>
        <v>0</v>
      </c>
      <c r="AX516" s="697">
        <f t="shared" si="192"/>
        <v>0</v>
      </c>
      <c r="AY516" s="700">
        <f t="shared" si="216"/>
        <v>7815.1333333333332</v>
      </c>
      <c r="AZ516" s="697">
        <f t="shared" si="217"/>
        <v>8920.0666666666675</v>
      </c>
      <c r="BA516" s="680"/>
    </row>
    <row r="517" spans="1:53">
      <c r="A517" s="514" t="s">
        <v>227</v>
      </c>
      <c r="B517" s="296" t="s">
        <v>240</v>
      </c>
      <c r="C517" s="289">
        <v>219879</v>
      </c>
      <c r="D517" s="299">
        <v>9</v>
      </c>
      <c r="E517" s="148" t="s">
        <v>393</v>
      </c>
      <c r="F517" s="149" t="s">
        <v>393</v>
      </c>
      <c r="G517" s="679"/>
      <c r="H517" s="678"/>
      <c r="I517" s="679">
        <v>28197</v>
      </c>
      <c r="J517" s="678">
        <v>31042</v>
      </c>
      <c r="K517" s="679">
        <v>5104</v>
      </c>
      <c r="L517" s="678">
        <v>5298</v>
      </c>
      <c r="M517" s="679">
        <v>32924</v>
      </c>
      <c r="N517" s="678">
        <v>37564</v>
      </c>
      <c r="O517" s="694">
        <f t="shared" si="208"/>
        <v>66225</v>
      </c>
      <c r="P517" s="713">
        <f t="shared" si="193"/>
        <v>2207.5</v>
      </c>
      <c r="Q517" s="696">
        <f t="shared" si="209"/>
        <v>73904</v>
      </c>
      <c r="R517" s="697">
        <f t="shared" si="187"/>
        <v>2463.4666666666667</v>
      </c>
      <c r="S517" s="679">
        <v>2603</v>
      </c>
      <c r="T517" s="678">
        <v>3358</v>
      </c>
      <c r="U517" s="694">
        <f t="shared" si="210"/>
        <v>66225</v>
      </c>
      <c r="V517" s="698">
        <f t="shared" si="211"/>
        <v>73904</v>
      </c>
      <c r="W517" s="679"/>
      <c r="X517" s="678"/>
      <c r="Y517" s="679"/>
      <c r="Z517" s="678"/>
      <c r="AA517" s="679"/>
      <c r="AB517" s="678"/>
      <c r="AC517" s="679"/>
      <c r="AD517" s="678"/>
      <c r="AE517" s="694">
        <f t="shared" si="212"/>
        <v>0</v>
      </c>
      <c r="AF517" s="695">
        <f t="shared" si="188"/>
        <v>0</v>
      </c>
      <c r="AG517" s="696">
        <f t="shared" si="213"/>
        <v>0</v>
      </c>
      <c r="AH517" s="697">
        <f t="shared" si="189"/>
        <v>0</v>
      </c>
      <c r="AI517" s="679"/>
      <c r="AJ517" s="678"/>
      <c r="AK517" s="694">
        <f t="shared" si="214"/>
        <v>0</v>
      </c>
      <c r="AL517" s="698">
        <f t="shared" si="215"/>
        <v>0</v>
      </c>
      <c r="AM517" s="679"/>
      <c r="AN517" s="678"/>
      <c r="AO517" s="679"/>
      <c r="AP517" s="678"/>
      <c r="AQ517" s="679"/>
      <c r="AR517" s="678"/>
      <c r="AS517" s="679"/>
      <c r="AT517" s="678"/>
      <c r="AU517" s="699">
        <f t="shared" si="190"/>
        <v>0</v>
      </c>
      <c r="AV517" s="695">
        <f t="shared" si="218"/>
        <v>0</v>
      </c>
      <c r="AW517" s="696">
        <f t="shared" si="191"/>
        <v>0</v>
      </c>
      <c r="AX517" s="697">
        <f t="shared" si="192"/>
        <v>0</v>
      </c>
      <c r="AY517" s="700">
        <f t="shared" si="216"/>
        <v>2207.5</v>
      </c>
      <c r="AZ517" s="697">
        <f t="shared" si="217"/>
        <v>2463.4666666666667</v>
      </c>
      <c r="BA517" s="680"/>
    </row>
    <row r="518" spans="1:53">
      <c r="A518" s="514" t="s">
        <v>227</v>
      </c>
      <c r="B518" s="296" t="s">
        <v>241</v>
      </c>
      <c r="C518" s="289">
        <v>219888</v>
      </c>
      <c r="D518" s="299">
        <v>9</v>
      </c>
      <c r="E518" s="148" t="s">
        <v>393</v>
      </c>
      <c r="F518" s="149" t="s">
        <v>393</v>
      </c>
      <c r="G518" s="679"/>
      <c r="H518" s="678"/>
      <c r="I518" s="679">
        <v>40903</v>
      </c>
      <c r="J518" s="678">
        <v>42495</v>
      </c>
      <c r="K518" s="679">
        <v>8676</v>
      </c>
      <c r="L518" s="678">
        <v>9295</v>
      </c>
      <c r="M518" s="679">
        <v>46216</v>
      </c>
      <c r="N518" s="678">
        <v>53531</v>
      </c>
      <c r="O518" s="694">
        <f t="shared" si="208"/>
        <v>95795</v>
      </c>
      <c r="P518" s="713">
        <f t="shared" si="193"/>
        <v>3193.1666666666665</v>
      </c>
      <c r="Q518" s="696">
        <f t="shared" si="209"/>
        <v>105321</v>
      </c>
      <c r="R518" s="697">
        <f t="shared" si="187"/>
        <v>3510.7</v>
      </c>
      <c r="S518" s="679">
        <v>3587</v>
      </c>
      <c r="T518" s="678">
        <v>4237</v>
      </c>
      <c r="U518" s="694">
        <f t="shared" si="210"/>
        <v>95795</v>
      </c>
      <c r="V518" s="698">
        <f t="shared" si="211"/>
        <v>105321</v>
      </c>
      <c r="W518" s="679"/>
      <c r="X518" s="678"/>
      <c r="Y518" s="679"/>
      <c r="Z518" s="678"/>
      <c r="AA518" s="679"/>
      <c r="AB518" s="678"/>
      <c r="AC518" s="679"/>
      <c r="AD518" s="678"/>
      <c r="AE518" s="694">
        <f t="shared" si="212"/>
        <v>0</v>
      </c>
      <c r="AF518" s="695">
        <f t="shared" si="188"/>
        <v>0</v>
      </c>
      <c r="AG518" s="696">
        <f t="shared" si="213"/>
        <v>0</v>
      </c>
      <c r="AH518" s="697">
        <f t="shared" si="189"/>
        <v>0</v>
      </c>
      <c r="AI518" s="679"/>
      <c r="AJ518" s="678"/>
      <c r="AK518" s="694">
        <f t="shared" si="214"/>
        <v>0</v>
      </c>
      <c r="AL518" s="698">
        <f t="shared" si="215"/>
        <v>0</v>
      </c>
      <c r="AM518" s="679"/>
      <c r="AN518" s="678"/>
      <c r="AO518" s="679"/>
      <c r="AP518" s="678"/>
      <c r="AQ518" s="679"/>
      <c r="AR518" s="678"/>
      <c r="AS518" s="679"/>
      <c r="AT518" s="678"/>
      <c r="AU518" s="699">
        <f t="shared" si="190"/>
        <v>0</v>
      </c>
      <c r="AV518" s="695">
        <f t="shared" si="218"/>
        <v>0</v>
      </c>
      <c r="AW518" s="696">
        <f t="shared" si="191"/>
        <v>0</v>
      </c>
      <c r="AX518" s="697">
        <f t="shared" si="192"/>
        <v>0</v>
      </c>
      <c r="AY518" s="700">
        <f t="shared" si="216"/>
        <v>3193.1666666666665</v>
      </c>
      <c r="AZ518" s="697">
        <f t="shared" si="217"/>
        <v>3510.7</v>
      </c>
      <c r="BA518" s="680"/>
    </row>
    <row r="519" spans="1:53">
      <c r="A519" s="514" t="s">
        <v>227</v>
      </c>
      <c r="B519" s="296" t="s">
        <v>242</v>
      </c>
      <c r="C519" s="289">
        <v>220400</v>
      </c>
      <c r="D519" s="299">
        <v>9</v>
      </c>
      <c r="E519" s="148" t="s">
        <v>393</v>
      </c>
      <c r="F519" s="149" t="s">
        <v>393</v>
      </c>
      <c r="G519" s="679"/>
      <c r="H519" s="678"/>
      <c r="I519" s="679">
        <v>39424</v>
      </c>
      <c r="J519" s="678">
        <v>41865</v>
      </c>
      <c r="K519" s="679">
        <v>10798</v>
      </c>
      <c r="L519" s="678">
        <v>10622</v>
      </c>
      <c r="M519" s="679">
        <v>42051</v>
      </c>
      <c r="N519" s="678">
        <v>49693</v>
      </c>
      <c r="O519" s="694">
        <f t="shared" si="208"/>
        <v>92273</v>
      </c>
      <c r="P519" s="713">
        <f t="shared" si="193"/>
        <v>3075.7666666666669</v>
      </c>
      <c r="Q519" s="696">
        <f t="shared" si="209"/>
        <v>102180</v>
      </c>
      <c r="R519" s="697">
        <f t="shared" si="187"/>
        <v>3406</v>
      </c>
      <c r="S519" s="679">
        <v>2353</v>
      </c>
      <c r="T519" s="678">
        <v>3917</v>
      </c>
      <c r="U519" s="694">
        <f t="shared" si="210"/>
        <v>92273</v>
      </c>
      <c r="V519" s="698">
        <f t="shared" si="211"/>
        <v>102180</v>
      </c>
      <c r="W519" s="679"/>
      <c r="X519" s="678"/>
      <c r="Y519" s="679"/>
      <c r="Z519" s="678"/>
      <c r="AA519" s="679"/>
      <c r="AB519" s="678"/>
      <c r="AC519" s="679"/>
      <c r="AD519" s="678"/>
      <c r="AE519" s="694">
        <f t="shared" si="212"/>
        <v>0</v>
      </c>
      <c r="AF519" s="695">
        <f t="shared" si="188"/>
        <v>0</v>
      </c>
      <c r="AG519" s="696">
        <f t="shared" si="213"/>
        <v>0</v>
      </c>
      <c r="AH519" s="697">
        <f t="shared" si="189"/>
        <v>0</v>
      </c>
      <c r="AI519" s="679"/>
      <c r="AJ519" s="678"/>
      <c r="AK519" s="694">
        <f t="shared" si="214"/>
        <v>0</v>
      </c>
      <c r="AL519" s="698">
        <f t="shared" si="215"/>
        <v>0</v>
      </c>
      <c r="AM519" s="679"/>
      <c r="AN519" s="678"/>
      <c r="AO519" s="679"/>
      <c r="AP519" s="678"/>
      <c r="AQ519" s="679"/>
      <c r="AR519" s="678"/>
      <c r="AS519" s="679"/>
      <c r="AT519" s="678"/>
      <c r="AU519" s="699">
        <f t="shared" si="190"/>
        <v>0</v>
      </c>
      <c r="AV519" s="695">
        <f t="shared" si="218"/>
        <v>0</v>
      </c>
      <c r="AW519" s="696">
        <f t="shared" si="191"/>
        <v>0</v>
      </c>
      <c r="AX519" s="697">
        <f t="shared" si="192"/>
        <v>0</v>
      </c>
      <c r="AY519" s="700">
        <f t="shared" si="216"/>
        <v>3075.7666666666669</v>
      </c>
      <c r="AZ519" s="697">
        <f t="shared" si="217"/>
        <v>3406</v>
      </c>
      <c r="BA519" s="680"/>
    </row>
    <row r="520" spans="1:53">
      <c r="A520" s="514" t="s">
        <v>227</v>
      </c>
      <c r="B520" s="296" t="s">
        <v>243</v>
      </c>
      <c r="C520" s="289">
        <v>221096</v>
      </c>
      <c r="D520" s="299">
        <v>9</v>
      </c>
      <c r="E520" s="148" t="s">
        <v>393</v>
      </c>
      <c r="F520" s="149" t="s">
        <v>393</v>
      </c>
      <c r="G520" s="679"/>
      <c r="H520" s="678"/>
      <c r="I520" s="679">
        <v>39112</v>
      </c>
      <c r="J520" s="678">
        <v>41691</v>
      </c>
      <c r="K520" s="679">
        <v>6787</v>
      </c>
      <c r="L520" s="678">
        <v>7621</v>
      </c>
      <c r="M520" s="679">
        <v>43378</v>
      </c>
      <c r="N520" s="678">
        <v>50300</v>
      </c>
      <c r="O520" s="694">
        <f t="shared" si="208"/>
        <v>89277</v>
      </c>
      <c r="P520" s="713">
        <f t="shared" si="193"/>
        <v>2975.9</v>
      </c>
      <c r="Q520" s="696">
        <f t="shared" si="209"/>
        <v>99612</v>
      </c>
      <c r="R520" s="697">
        <f t="shared" si="187"/>
        <v>3320.4</v>
      </c>
      <c r="S520" s="679">
        <v>2974</v>
      </c>
      <c r="T520" s="678">
        <v>4385</v>
      </c>
      <c r="U520" s="694">
        <f t="shared" si="210"/>
        <v>89277</v>
      </c>
      <c r="V520" s="698">
        <f t="shared" si="211"/>
        <v>99612</v>
      </c>
      <c r="W520" s="679"/>
      <c r="X520" s="678"/>
      <c r="Y520" s="679"/>
      <c r="Z520" s="678"/>
      <c r="AA520" s="679"/>
      <c r="AB520" s="678"/>
      <c r="AC520" s="679"/>
      <c r="AD520" s="678"/>
      <c r="AE520" s="694">
        <f t="shared" si="212"/>
        <v>0</v>
      </c>
      <c r="AF520" s="695">
        <f t="shared" si="188"/>
        <v>0</v>
      </c>
      <c r="AG520" s="696">
        <f t="shared" si="213"/>
        <v>0</v>
      </c>
      <c r="AH520" s="697">
        <f t="shared" si="189"/>
        <v>0</v>
      </c>
      <c r="AI520" s="679"/>
      <c r="AJ520" s="678"/>
      <c r="AK520" s="694">
        <f t="shared" si="214"/>
        <v>0</v>
      </c>
      <c r="AL520" s="698">
        <f t="shared" si="215"/>
        <v>0</v>
      </c>
      <c r="AM520" s="679"/>
      <c r="AN520" s="678"/>
      <c r="AO520" s="679"/>
      <c r="AP520" s="678"/>
      <c r="AQ520" s="679"/>
      <c r="AR520" s="678"/>
      <c r="AS520" s="679"/>
      <c r="AT520" s="678"/>
      <c r="AU520" s="699">
        <f t="shared" si="190"/>
        <v>0</v>
      </c>
      <c r="AV520" s="695">
        <f t="shared" si="218"/>
        <v>0</v>
      </c>
      <c r="AW520" s="696">
        <f t="shared" si="191"/>
        <v>0</v>
      </c>
      <c r="AX520" s="697">
        <f t="shared" si="192"/>
        <v>0</v>
      </c>
      <c r="AY520" s="700">
        <f t="shared" si="216"/>
        <v>2975.9</v>
      </c>
      <c r="AZ520" s="697">
        <f t="shared" si="217"/>
        <v>3320.4</v>
      </c>
      <c r="BA520" s="680"/>
    </row>
    <row r="521" spans="1:53">
      <c r="A521" s="514" t="s">
        <v>227</v>
      </c>
      <c r="B521" s="296" t="s">
        <v>244</v>
      </c>
      <c r="C521" s="289">
        <v>221184</v>
      </c>
      <c r="D521" s="299">
        <v>9</v>
      </c>
      <c r="E521" s="148" t="s">
        <v>393</v>
      </c>
      <c r="F521" s="149" t="s">
        <v>393</v>
      </c>
      <c r="G521" s="679"/>
      <c r="H521" s="678"/>
      <c r="I521" s="679">
        <v>57887</v>
      </c>
      <c r="J521" s="678">
        <v>67556</v>
      </c>
      <c r="K521" s="679">
        <v>17138</v>
      </c>
      <c r="L521" s="678">
        <v>20302</v>
      </c>
      <c r="M521" s="679">
        <v>64723</v>
      </c>
      <c r="N521" s="678">
        <v>77309</v>
      </c>
      <c r="O521" s="694">
        <f t="shared" si="208"/>
        <v>139748</v>
      </c>
      <c r="P521" s="713">
        <f t="shared" si="193"/>
        <v>4658.2666666666664</v>
      </c>
      <c r="Q521" s="696">
        <f t="shared" si="209"/>
        <v>165167</v>
      </c>
      <c r="R521" s="697">
        <f t="shared" si="187"/>
        <v>5505.5666666666666</v>
      </c>
      <c r="S521" s="679">
        <v>3651</v>
      </c>
      <c r="T521" s="678">
        <v>4701</v>
      </c>
      <c r="U521" s="694">
        <f t="shared" si="210"/>
        <v>139748</v>
      </c>
      <c r="V521" s="698">
        <f t="shared" si="211"/>
        <v>165167</v>
      </c>
      <c r="W521" s="679"/>
      <c r="X521" s="678"/>
      <c r="Y521" s="679"/>
      <c r="Z521" s="678"/>
      <c r="AA521" s="679"/>
      <c r="AB521" s="678"/>
      <c r="AC521" s="679"/>
      <c r="AD521" s="678"/>
      <c r="AE521" s="694">
        <f t="shared" si="212"/>
        <v>0</v>
      </c>
      <c r="AF521" s="695">
        <f t="shared" si="188"/>
        <v>0</v>
      </c>
      <c r="AG521" s="696">
        <f t="shared" si="213"/>
        <v>0</v>
      </c>
      <c r="AH521" s="697">
        <f t="shared" si="189"/>
        <v>0</v>
      </c>
      <c r="AI521" s="679"/>
      <c r="AJ521" s="678"/>
      <c r="AK521" s="694">
        <f t="shared" si="214"/>
        <v>0</v>
      </c>
      <c r="AL521" s="698">
        <f t="shared" si="215"/>
        <v>0</v>
      </c>
      <c r="AM521" s="679"/>
      <c r="AN521" s="678"/>
      <c r="AO521" s="679"/>
      <c r="AP521" s="678"/>
      <c r="AQ521" s="679"/>
      <c r="AR521" s="678"/>
      <c r="AS521" s="679"/>
      <c r="AT521" s="678"/>
      <c r="AU521" s="699">
        <f t="shared" si="190"/>
        <v>0</v>
      </c>
      <c r="AV521" s="695">
        <f t="shared" si="218"/>
        <v>0</v>
      </c>
      <c r="AW521" s="696">
        <f t="shared" si="191"/>
        <v>0</v>
      </c>
      <c r="AX521" s="697">
        <f t="shared" si="192"/>
        <v>0</v>
      </c>
      <c r="AY521" s="700">
        <f t="shared" si="216"/>
        <v>4658.2666666666664</v>
      </c>
      <c r="AZ521" s="697">
        <f t="shared" si="217"/>
        <v>5505.5666666666666</v>
      </c>
      <c r="BA521" s="680"/>
    </row>
    <row r="522" spans="1:53">
      <c r="A522" s="514" t="s">
        <v>227</v>
      </c>
      <c r="B522" s="296" t="s">
        <v>245</v>
      </c>
      <c r="C522" s="289">
        <v>221908</v>
      </c>
      <c r="D522" s="299">
        <v>9</v>
      </c>
      <c r="E522" s="148" t="s">
        <v>393</v>
      </c>
      <c r="F522" s="149" t="s">
        <v>393</v>
      </c>
      <c r="G522" s="679"/>
      <c r="H522" s="678"/>
      <c r="I522" s="679">
        <v>46909</v>
      </c>
      <c r="J522" s="678">
        <v>52062</v>
      </c>
      <c r="K522" s="679">
        <v>10318</v>
      </c>
      <c r="L522" s="678">
        <v>12208</v>
      </c>
      <c r="M522" s="679">
        <v>54086</v>
      </c>
      <c r="N522" s="678">
        <v>63466</v>
      </c>
      <c r="O522" s="694">
        <f t="shared" si="208"/>
        <v>111313</v>
      </c>
      <c r="P522" s="713">
        <f t="shared" si="193"/>
        <v>3710.4333333333334</v>
      </c>
      <c r="Q522" s="696">
        <f t="shared" si="209"/>
        <v>127736</v>
      </c>
      <c r="R522" s="697">
        <f t="shared" si="187"/>
        <v>4257.8666666666668</v>
      </c>
      <c r="S522" s="679">
        <v>2391</v>
      </c>
      <c r="T522" s="678">
        <v>2765</v>
      </c>
      <c r="U522" s="694">
        <f t="shared" si="210"/>
        <v>111313</v>
      </c>
      <c r="V522" s="698">
        <f t="shared" si="211"/>
        <v>127736</v>
      </c>
      <c r="W522" s="679"/>
      <c r="X522" s="678"/>
      <c r="Y522" s="679"/>
      <c r="Z522" s="678"/>
      <c r="AA522" s="679"/>
      <c r="AB522" s="678"/>
      <c r="AC522" s="679"/>
      <c r="AD522" s="678"/>
      <c r="AE522" s="694">
        <f t="shared" si="212"/>
        <v>0</v>
      </c>
      <c r="AF522" s="695">
        <f t="shared" si="188"/>
        <v>0</v>
      </c>
      <c r="AG522" s="696">
        <f t="shared" si="213"/>
        <v>0</v>
      </c>
      <c r="AH522" s="697">
        <f t="shared" si="189"/>
        <v>0</v>
      </c>
      <c r="AI522" s="679"/>
      <c r="AJ522" s="678"/>
      <c r="AK522" s="694">
        <f t="shared" si="214"/>
        <v>0</v>
      </c>
      <c r="AL522" s="698">
        <f t="shared" si="215"/>
        <v>0</v>
      </c>
      <c r="AM522" s="679"/>
      <c r="AN522" s="678"/>
      <c r="AO522" s="679"/>
      <c r="AP522" s="678"/>
      <c r="AQ522" s="679"/>
      <c r="AR522" s="678"/>
      <c r="AS522" s="679"/>
      <c r="AT522" s="678"/>
      <c r="AU522" s="699">
        <f t="shared" si="190"/>
        <v>0</v>
      </c>
      <c r="AV522" s="695">
        <f t="shared" si="218"/>
        <v>0</v>
      </c>
      <c r="AW522" s="696">
        <f t="shared" si="191"/>
        <v>0</v>
      </c>
      <c r="AX522" s="697">
        <f t="shared" si="192"/>
        <v>0</v>
      </c>
      <c r="AY522" s="700">
        <f t="shared" si="216"/>
        <v>3710.4333333333334</v>
      </c>
      <c r="AZ522" s="697">
        <f t="shared" si="217"/>
        <v>4257.8666666666668</v>
      </c>
      <c r="BA522" s="680"/>
    </row>
    <row r="523" spans="1:53">
      <c r="A523" s="514" t="s">
        <v>227</v>
      </c>
      <c r="B523" s="296" t="s">
        <v>246</v>
      </c>
      <c r="C523" s="289">
        <v>221397</v>
      </c>
      <c r="D523" s="299">
        <v>9</v>
      </c>
      <c r="E523" s="148" t="s">
        <v>393</v>
      </c>
      <c r="F523" s="149" t="s">
        <v>393</v>
      </c>
      <c r="G523" s="679"/>
      <c r="H523" s="678"/>
      <c r="I523" s="679">
        <v>50491</v>
      </c>
      <c r="J523" s="678">
        <v>53063</v>
      </c>
      <c r="K523" s="679">
        <v>6892</v>
      </c>
      <c r="L523" s="678">
        <v>7676</v>
      </c>
      <c r="M523" s="679">
        <v>56492</v>
      </c>
      <c r="N523" s="678">
        <v>63409</v>
      </c>
      <c r="O523" s="694">
        <f t="shared" si="208"/>
        <v>113875</v>
      </c>
      <c r="P523" s="713">
        <f t="shared" si="193"/>
        <v>3795.8333333333335</v>
      </c>
      <c r="Q523" s="696">
        <f t="shared" si="209"/>
        <v>124148</v>
      </c>
      <c r="R523" s="697">
        <f t="shared" si="187"/>
        <v>4138.2666666666664</v>
      </c>
      <c r="S523" s="679">
        <v>4113</v>
      </c>
      <c r="T523" s="678">
        <v>6241</v>
      </c>
      <c r="U523" s="694">
        <f t="shared" si="210"/>
        <v>113875</v>
      </c>
      <c r="V523" s="698">
        <f t="shared" si="211"/>
        <v>124148</v>
      </c>
      <c r="W523" s="679"/>
      <c r="X523" s="678"/>
      <c r="Y523" s="679"/>
      <c r="Z523" s="678"/>
      <c r="AA523" s="679"/>
      <c r="AB523" s="678"/>
      <c r="AC523" s="679"/>
      <c r="AD523" s="678"/>
      <c r="AE523" s="694">
        <f t="shared" si="212"/>
        <v>0</v>
      </c>
      <c r="AF523" s="695">
        <f t="shared" si="188"/>
        <v>0</v>
      </c>
      <c r="AG523" s="696">
        <f t="shared" si="213"/>
        <v>0</v>
      </c>
      <c r="AH523" s="697">
        <f t="shared" si="189"/>
        <v>0</v>
      </c>
      <c r="AI523" s="679"/>
      <c r="AJ523" s="678"/>
      <c r="AK523" s="694">
        <f t="shared" si="214"/>
        <v>0</v>
      </c>
      <c r="AL523" s="698">
        <f t="shared" si="215"/>
        <v>0</v>
      </c>
      <c r="AM523" s="679"/>
      <c r="AN523" s="678"/>
      <c r="AO523" s="679"/>
      <c r="AP523" s="678"/>
      <c r="AQ523" s="679"/>
      <c r="AR523" s="678"/>
      <c r="AS523" s="679"/>
      <c r="AT523" s="678"/>
      <c r="AU523" s="699">
        <f t="shared" si="190"/>
        <v>0</v>
      </c>
      <c r="AV523" s="695">
        <f t="shared" si="218"/>
        <v>0</v>
      </c>
      <c r="AW523" s="696">
        <f t="shared" si="191"/>
        <v>0</v>
      </c>
      <c r="AX523" s="697">
        <f t="shared" si="192"/>
        <v>0</v>
      </c>
      <c r="AY523" s="700">
        <f t="shared" si="216"/>
        <v>3795.8333333333335</v>
      </c>
      <c r="AZ523" s="697">
        <f t="shared" si="217"/>
        <v>4138.2666666666664</v>
      </c>
      <c r="BA523" s="680"/>
    </row>
    <row r="524" spans="1:53">
      <c r="A524" s="514" t="s">
        <v>227</v>
      </c>
      <c r="B524" s="296" t="s">
        <v>247</v>
      </c>
      <c r="C524" s="289">
        <v>222053</v>
      </c>
      <c r="D524" s="299">
        <v>9</v>
      </c>
      <c r="E524" s="148" t="s">
        <v>393</v>
      </c>
      <c r="F524" s="149" t="s">
        <v>393</v>
      </c>
      <c r="G524" s="679"/>
      <c r="H524" s="678"/>
      <c r="I524" s="679">
        <v>59251</v>
      </c>
      <c r="J524" s="678">
        <v>64318</v>
      </c>
      <c r="K524" s="679">
        <v>15518</v>
      </c>
      <c r="L524" s="678">
        <v>18398</v>
      </c>
      <c r="M524" s="679">
        <v>68735</v>
      </c>
      <c r="N524" s="678">
        <v>82521</v>
      </c>
      <c r="O524" s="694">
        <f t="shared" si="208"/>
        <v>143504</v>
      </c>
      <c r="P524" s="713">
        <f t="shared" si="193"/>
        <v>4783.4666666666662</v>
      </c>
      <c r="Q524" s="696">
        <f t="shared" si="209"/>
        <v>165237</v>
      </c>
      <c r="R524" s="697">
        <f t="shared" si="187"/>
        <v>5507.9</v>
      </c>
      <c r="S524" s="679">
        <v>8757</v>
      </c>
      <c r="T524" s="678">
        <v>8823</v>
      </c>
      <c r="U524" s="694">
        <f t="shared" si="210"/>
        <v>143504</v>
      </c>
      <c r="V524" s="698">
        <f t="shared" si="211"/>
        <v>165237</v>
      </c>
      <c r="W524" s="679"/>
      <c r="X524" s="678"/>
      <c r="Y524" s="679"/>
      <c r="Z524" s="678"/>
      <c r="AA524" s="679"/>
      <c r="AB524" s="678"/>
      <c r="AC524" s="679"/>
      <c r="AD524" s="678"/>
      <c r="AE524" s="694">
        <f t="shared" si="212"/>
        <v>0</v>
      </c>
      <c r="AF524" s="695">
        <f t="shared" si="188"/>
        <v>0</v>
      </c>
      <c r="AG524" s="696">
        <f t="shared" si="213"/>
        <v>0</v>
      </c>
      <c r="AH524" s="697">
        <f t="shared" si="189"/>
        <v>0</v>
      </c>
      <c r="AI524" s="679"/>
      <c r="AJ524" s="678"/>
      <c r="AK524" s="694">
        <f t="shared" si="214"/>
        <v>0</v>
      </c>
      <c r="AL524" s="698">
        <f t="shared" si="215"/>
        <v>0</v>
      </c>
      <c r="AM524" s="679"/>
      <c r="AN524" s="678"/>
      <c r="AO524" s="679"/>
      <c r="AP524" s="678"/>
      <c r="AQ524" s="679"/>
      <c r="AR524" s="678"/>
      <c r="AS524" s="679"/>
      <c r="AT524" s="678"/>
      <c r="AU524" s="699">
        <f t="shared" si="190"/>
        <v>0</v>
      </c>
      <c r="AV524" s="695">
        <f t="shared" si="218"/>
        <v>0</v>
      </c>
      <c r="AW524" s="696">
        <f t="shared" si="191"/>
        <v>0</v>
      </c>
      <c r="AX524" s="697">
        <f t="shared" si="192"/>
        <v>0</v>
      </c>
      <c r="AY524" s="700">
        <f t="shared" si="216"/>
        <v>4783.4666666666662</v>
      </c>
      <c r="AZ524" s="697">
        <f t="shared" si="217"/>
        <v>5507.9</v>
      </c>
      <c r="BA524" s="680"/>
    </row>
    <row r="525" spans="1:53">
      <c r="A525" s="514" t="s">
        <v>227</v>
      </c>
      <c r="B525" s="296" t="s">
        <v>248</v>
      </c>
      <c r="C525" s="289">
        <v>222062</v>
      </c>
      <c r="D525" s="299">
        <v>9</v>
      </c>
      <c r="E525" s="148" t="s">
        <v>393</v>
      </c>
      <c r="F525" s="149" t="s">
        <v>393</v>
      </c>
      <c r="G525" s="679"/>
      <c r="H525" s="678"/>
      <c r="I525" s="679">
        <v>52942</v>
      </c>
      <c r="J525" s="678">
        <v>57639</v>
      </c>
      <c r="K525" s="679">
        <v>10613</v>
      </c>
      <c r="L525" s="678">
        <v>10915</v>
      </c>
      <c r="M525" s="679">
        <v>61230</v>
      </c>
      <c r="N525" s="678">
        <v>71698</v>
      </c>
      <c r="O525" s="694">
        <f t="shared" si="208"/>
        <v>124785</v>
      </c>
      <c r="P525" s="695">
        <f t="shared" si="193"/>
        <v>4159.5</v>
      </c>
      <c r="Q525" s="696">
        <f t="shared" si="209"/>
        <v>140252</v>
      </c>
      <c r="R525" s="697">
        <f t="shared" si="187"/>
        <v>4675.0666666666666</v>
      </c>
      <c r="S525" s="679">
        <v>6394</v>
      </c>
      <c r="T525" s="678">
        <v>6763</v>
      </c>
      <c r="U525" s="694">
        <f t="shared" si="210"/>
        <v>124785</v>
      </c>
      <c r="V525" s="698">
        <f t="shared" si="211"/>
        <v>140252</v>
      </c>
      <c r="W525" s="679"/>
      <c r="X525" s="678"/>
      <c r="Y525" s="679"/>
      <c r="Z525" s="678"/>
      <c r="AA525" s="679" t="s">
        <v>380</v>
      </c>
      <c r="AB525" s="678"/>
      <c r="AC525" s="679"/>
      <c r="AD525" s="678"/>
      <c r="AE525" s="694">
        <f t="shared" si="212"/>
        <v>0</v>
      </c>
      <c r="AF525" s="695">
        <f t="shared" si="188"/>
        <v>0</v>
      </c>
      <c r="AG525" s="696">
        <f t="shared" si="213"/>
        <v>0</v>
      </c>
      <c r="AH525" s="697">
        <f t="shared" si="189"/>
        <v>0</v>
      </c>
      <c r="AI525" s="679"/>
      <c r="AJ525" s="678"/>
      <c r="AK525" s="694">
        <f t="shared" si="214"/>
        <v>0</v>
      </c>
      <c r="AL525" s="698">
        <f t="shared" si="215"/>
        <v>0</v>
      </c>
      <c r="AM525" s="679"/>
      <c r="AN525" s="678"/>
      <c r="AO525" s="679"/>
      <c r="AP525" s="678"/>
      <c r="AQ525" s="679"/>
      <c r="AR525" s="678"/>
      <c r="AS525" s="679"/>
      <c r="AT525" s="678"/>
      <c r="AU525" s="699">
        <f t="shared" si="190"/>
        <v>0</v>
      </c>
      <c r="AV525" s="695">
        <f t="shared" si="218"/>
        <v>0</v>
      </c>
      <c r="AW525" s="696">
        <f t="shared" si="191"/>
        <v>0</v>
      </c>
      <c r="AX525" s="697">
        <f t="shared" si="192"/>
        <v>0</v>
      </c>
      <c r="AY525" s="700">
        <f t="shared" si="216"/>
        <v>4159.5</v>
      </c>
      <c r="AZ525" s="697">
        <f t="shared" si="217"/>
        <v>4675.0666666666666</v>
      </c>
      <c r="BA525" s="680"/>
    </row>
    <row r="526" spans="1:53">
      <c r="A526" s="514" t="s">
        <v>227</v>
      </c>
      <c r="B526" s="296" t="s">
        <v>249</v>
      </c>
      <c r="C526" s="289">
        <v>220057</v>
      </c>
      <c r="D526" s="299">
        <v>10</v>
      </c>
      <c r="E526" s="148" t="s">
        <v>393</v>
      </c>
      <c r="F526" s="149" t="s">
        <v>393</v>
      </c>
      <c r="G526" s="679"/>
      <c r="H526" s="678"/>
      <c r="I526" s="679">
        <v>22096</v>
      </c>
      <c r="J526" s="678">
        <v>24888</v>
      </c>
      <c r="K526" s="679">
        <v>3333</v>
      </c>
      <c r="L526" s="678">
        <v>3707</v>
      </c>
      <c r="M526" s="679">
        <v>26113</v>
      </c>
      <c r="N526" s="678">
        <v>33190</v>
      </c>
      <c r="O526" s="694">
        <f t="shared" si="208"/>
        <v>51542</v>
      </c>
      <c r="P526" s="695">
        <f t="shared" si="193"/>
        <v>1718.0666666666666</v>
      </c>
      <c r="Q526" s="696">
        <f t="shared" si="209"/>
        <v>61785</v>
      </c>
      <c r="R526" s="697">
        <f t="shared" si="187"/>
        <v>2059.5</v>
      </c>
      <c r="S526" s="679">
        <v>3629</v>
      </c>
      <c r="T526" s="678">
        <v>3794</v>
      </c>
      <c r="U526" s="694">
        <f t="shared" si="210"/>
        <v>51542</v>
      </c>
      <c r="V526" s="698">
        <f t="shared" si="211"/>
        <v>61785</v>
      </c>
      <c r="W526" s="679"/>
      <c r="X526" s="678"/>
      <c r="Y526" s="679"/>
      <c r="Z526" s="678"/>
      <c r="AA526" s="679"/>
      <c r="AB526" s="678"/>
      <c r="AC526" s="679"/>
      <c r="AD526" s="678"/>
      <c r="AE526" s="694">
        <f t="shared" si="212"/>
        <v>0</v>
      </c>
      <c r="AF526" s="695">
        <f t="shared" si="188"/>
        <v>0</v>
      </c>
      <c r="AG526" s="696">
        <f t="shared" si="213"/>
        <v>0</v>
      </c>
      <c r="AH526" s="697">
        <f t="shared" si="189"/>
        <v>0</v>
      </c>
      <c r="AI526" s="679"/>
      <c r="AJ526" s="678"/>
      <c r="AK526" s="694">
        <f t="shared" si="214"/>
        <v>0</v>
      </c>
      <c r="AL526" s="698">
        <f t="shared" si="215"/>
        <v>0</v>
      </c>
      <c r="AM526" s="679"/>
      <c r="AN526" s="678"/>
      <c r="AO526" s="679"/>
      <c r="AP526" s="678"/>
      <c r="AQ526" s="679"/>
      <c r="AR526" s="678"/>
      <c r="AS526" s="679"/>
      <c r="AT526" s="678"/>
      <c r="AU526" s="699">
        <f t="shared" si="190"/>
        <v>0</v>
      </c>
      <c r="AV526" s="695">
        <f t="shared" si="218"/>
        <v>0</v>
      </c>
      <c r="AW526" s="696">
        <f t="shared" si="191"/>
        <v>0</v>
      </c>
      <c r="AX526" s="697">
        <f t="shared" si="192"/>
        <v>0</v>
      </c>
      <c r="AY526" s="700">
        <f t="shared" si="216"/>
        <v>1718.0666666666666</v>
      </c>
      <c r="AZ526" s="697">
        <f t="shared" si="217"/>
        <v>2059.5</v>
      </c>
      <c r="BA526" s="680"/>
    </row>
    <row r="527" spans="1:53">
      <c r="A527" s="514" t="s">
        <v>227</v>
      </c>
      <c r="B527" s="296" t="s">
        <v>250</v>
      </c>
      <c r="C527" s="289">
        <v>219596</v>
      </c>
      <c r="D527" s="299">
        <v>13</v>
      </c>
      <c r="E527" s="148" t="s">
        <v>393</v>
      </c>
      <c r="F527" s="149" t="s">
        <v>393</v>
      </c>
      <c r="G527" s="679"/>
      <c r="H527" s="678"/>
      <c r="I527" s="679"/>
      <c r="J527" s="678"/>
      <c r="K527" s="679"/>
      <c r="L527" s="678"/>
      <c r="M527" s="679"/>
      <c r="N527" s="678"/>
      <c r="O527" s="694">
        <f t="shared" si="208"/>
        <v>0</v>
      </c>
      <c r="P527" s="695">
        <f t="shared" ref="P527:P590" si="219">+O527/30</f>
        <v>0</v>
      </c>
      <c r="Q527" s="696">
        <f t="shared" si="209"/>
        <v>0</v>
      </c>
      <c r="R527" s="697">
        <f t="shared" si="187"/>
        <v>0</v>
      </c>
      <c r="S527" s="679"/>
      <c r="T527" s="678"/>
      <c r="U527" s="694">
        <f t="shared" si="210"/>
        <v>0</v>
      </c>
      <c r="V527" s="698">
        <f t="shared" si="211"/>
        <v>0</v>
      </c>
      <c r="W527" s="679"/>
      <c r="X527" s="678"/>
      <c r="Y527" s="679">
        <v>85116</v>
      </c>
      <c r="Z527" s="678">
        <v>88293</v>
      </c>
      <c r="AA527" s="679">
        <v>84080</v>
      </c>
      <c r="AB527" s="678">
        <v>81886</v>
      </c>
      <c r="AC527" s="679">
        <v>85132</v>
      </c>
      <c r="AD527" s="678">
        <v>95781</v>
      </c>
      <c r="AE527" s="694">
        <f t="shared" si="212"/>
        <v>254328</v>
      </c>
      <c r="AF527" s="695">
        <f t="shared" si="188"/>
        <v>282.58666666666664</v>
      </c>
      <c r="AG527" s="696">
        <f t="shared" si="213"/>
        <v>265960</v>
      </c>
      <c r="AH527" s="697">
        <f t="shared" si="189"/>
        <v>295.51111111111112</v>
      </c>
      <c r="AI527" s="679"/>
      <c r="AJ527" s="678"/>
      <c r="AK527" s="694">
        <f t="shared" si="214"/>
        <v>0</v>
      </c>
      <c r="AL527" s="698">
        <f t="shared" si="215"/>
        <v>0</v>
      </c>
      <c r="AM527" s="679"/>
      <c r="AN527" s="678"/>
      <c r="AO527" s="679"/>
      <c r="AP527" s="678"/>
      <c r="AQ527" s="679"/>
      <c r="AR527" s="678"/>
      <c r="AS527" s="679"/>
      <c r="AT527" s="678"/>
      <c r="AU527" s="699">
        <f t="shared" si="190"/>
        <v>0</v>
      </c>
      <c r="AV527" s="695">
        <f t="shared" si="218"/>
        <v>0</v>
      </c>
      <c r="AW527" s="696">
        <f t="shared" si="191"/>
        <v>0</v>
      </c>
      <c r="AX527" s="697">
        <f t="shared" si="192"/>
        <v>0</v>
      </c>
      <c r="AY527" s="700">
        <f t="shared" si="216"/>
        <v>282.58666666666664</v>
      </c>
      <c r="AZ527" s="697">
        <f t="shared" si="217"/>
        <v>295.51111111111112</v>
      </c>
      <c r="BA527" s="680"/>
    </row>
    <row r="528" spans="1:53">
      <c r="A528" s="514" t="s">
        <v>227</v>
      </c>
      <c r="B528" s="296" t="s">
        <v>251</v>
      </c>
      <c r="C528" s="289" t="s">
        <v>252</v>
      </c>
      <c r="D528" s="299">
        <v>13</v>
      </c>
      <c r="E528" s="148" t="s">
        <v>393</v>
      </c>
      <c r="F528" s="149" t="s">
        <v>393</v>
      </c>
      <c r="G528" s="679"/>
      <c r="H528" s="678"/>
      <c r="I528" s="679"/>
      <c r="J528" s="678"/>
      <c r="K528" s="679"/>
      <c r="L528" s="678"/>
      <c r="M528" s="679"/>
      <c r="N528" s="678"/>
      <c r="O528" s="694">
        <f t="shared" si="208"/>
        <v>0</v>
      </c>
      <c r="P528" s="695">
        <f t="shared" si="219"/>
        <v>0</v>
      </c>
      <c r="Q528" s="696">
        <f t="shared" si="209"/>
        <v>0</v>
      </c>
      <c r="R528" s="697">
        <f t="shared" si="187"/>
        <v>0</v>
      </c>
      <c r="S528" s="679"/>
      <c r="T528" s="678"/>
      <c r="U528" s="694">
        <f t="shared" si="210"/>
        <v>0</v>
      </c>
      <c r="V528" s="698">
        <f t="shared" si="211"/>
        <v>0</v>
      </c>
      <c r="W528" s="679"/>
      <c r="X528" s="678"/>
      <c r="Y528" s="679">
        <v>282622</v>
      </c>
      <c r="Z528" s="678">
        <v>350286</v>
      </c>
      <c r="AA528" s="679">
        <v>183284</v>
      </c>
      <c r="AB528" s="678">
        <v>216035</v>
      </c>
      <c r="AC528" s="679">
        <v>330503</v>
      </c>
      <c r="AD528" s="678">
        <v>363924</v>
      </c>
      <c r="AE528" s="694">
        <f t="shared" si="212"/>
        <v>796409</v>
      </c>
      <c r="AF528" s="695">
        <f t="shared" si="188"/>
        <v>884.89888888888891</v>
      </c>
      <c r="AG528" s="696">
        <f t="shared" si="213"/>
        <v>930245</v>
      </c>
      <c r="AH528" s="697">
        <f t="shared" si="189"/>
        <v>1033.6055555555556</v>
      </c>
      <c r="AI528" s="679"/>
      <c r="AJ528" s="678"/>
      <c r="AK528" s="694">
        <f t="shared" si="214"/>
        <v>0</v>
      </c>
      <c r="AL528" s="698">
        <f t="shared" si="215"/>
        <v>0</v>
      </c>
      <c r="AM528" s="679"/>
      <c r="AN528" s="678"/>
      <c r="AO528" s="679"/>
      <c r="AP528" s="678"/>
      <c r="AQ528" s="679"/>
      <c r="AR528" s="678"/>
      <c r="AS528" s="679"/>
      <c r="AT528" s="678"/>
      <c r="AU528" s="699">
        <f t="shared" si="190"/>
        <v>0</v>
      </c>
      <c r="AV528" s="695">
        <f t="shared" si="218"/>
        <v>0</v>
      </c>
      <c r="AW528" s="696">
        <f t="shared" si="191"/>
        <v>0</v>
      </c>
      <c r="AX528" s="697">
        <f t="shared" si="192"/>
        <v>0</v>
      </c>
      <c r="AY528" s="700">
        <f t="shared" si="216"/>
        <v>884.89888888888891</v>
      </c>
      <c r="AZ528" s="697">
        <f t="shared" si="217"/>
        <v>1033.6055555555556</v>
      </c>
      <c r="BA528" s="680"/>
    </row>
    <row r="529" spans="1:53">
      <c r="A529" s="514" t="s">
        <v>227</v>
      </c>
      <c r="B529" s="296" t="s">
        <v>253</v>
      </c>
      <c r="C529" s="289">
        <v>219921</v>
      </c>
      <c r="D529" s="299">
        <v>13</v>
      </c>
      <c r="E529" s="148" t="s">
        <v>393</v>
      </c>
      <c r="F529" s="149" t="s">
        <v>393</v>
      </c>
      <c r="G529" s="679"/>
      <c r="H529" s="678"/>
      <c r="I529" s="679"/>
      <c r="J529" s="678"/>
      <c r="K529" s="679"/>
      <c r="L529" s="678"/>
      <c r="M529" s="679"/>
      <c r="N529" s="678"/>
      <c r="O529" s="694">
        <f t="shared" si="208"/>
        <v>0</v>
      </c>
      <c r="P529" s="695">
        <f t="shared" si="219"/>
        <v>0</v>
      </c>
      <c r="Q529" s="696">
        <f t="shared" si="209"/>
        <v>0</v>
      </c>
      <c r="R529" s="697">
        <f t="shared" si="187"/>
        <v>0</v>
      </c>
      <c r="S529" s="679"/>
      <c r="T529" s="678"/>
      <c r="U529" s="694">
        <f t="shared" si="210"/>
        <v>0</v>
      </c>
      <c r="V529" s="698">
        <f t="shared" si="211"/>
        <v>0</v>
      </c>
      <c r="W529" s="679"/>
      <c r="X529" s="678"/>
      <c r="Y529" s="679">
        <v>50201</v>
      </c>
      <c r="Z529" s="678">
        <v>63157</v>
      </c>
      <c r="AA529" s="679">
        <v>45434</v>
      </c>
      <c r="AB529" s="678">
        <v>55808</v>
      </c>
      <c r="AC529" s="679">
        <v>65644</v>
      </c>
      <c r="AD529" s="678">
        <v>70760</v>
      </c>
      <c r="AE529" s="694">
        <f t="shared" si="212"/>
        <v>161279</v>
      </c>
      <c r="AF529" s="695">
        <f t="shared" si="188"/>
        <v>179.19888888888889</v>
      </c>
      <c r="AG529" s="696">
        <f t="shared" si="213"/>
        <v>189725</v>
      </c>
      <c r="AH529" s="697">
        <f t="shared" si="189"/>
        <v>210.80555555555554</v>
      </c>
      <c r="AI529" s="679"/>
      <c r="AJ529" s="678"/>
      <c r="AK529" s="694">
        <f t="shared" si="214"/>
        <v>0</v>
      </c>
      <c r="AL529" s="698">
        <f t="shared" si="215"/>
        <v>0</v>
      </c>
      <c r="AM529" s="679"/>
      <c r="AN529" s="678"/>
      <c r="AO529" s="679"/>
      <c r="AP529" s="678"/>
      <c r="AQ529" s="679"/>
      <c r="AR529" s="678"/>
      <c r="AS529" s="679"/>
      <c r="AT529" s="678"/>
      <c r="AU529" s="699">
        <f t="shared" si="190"/>
        <v>0</v>
      </c>
      <c r="AV529" s="695">
        <f t="shared" si="218"/>
        <v>0</v>
      </c>
      <c r="AW529" s="696">
        <f t="shared" si="191"/>
        <v>0</v>
      </c>
      <c r="AX529" s="697">
        <f t="shared" si="192"/>
        <v>0</v>
      </c>
      <c r="AY529" s="700">
        <f t="shared" si="216"/>
        <v>179.19888888888889</v>
      </c>
      <c r="AZ529" s="697">
        <f t="shared" si="217"/>
        <v>210.80555555555554</v>
      </c>
      <c r="BA529" s="680"/>
    </row>
    <row r="530" spans="1:53">
      <c r="A530" s="514" t="s">
        <v>227</v>
      </c>
      <c r="B530" s="296" t="s">
        <v>254</v>
      </c>
      <c r="C530" s="289">
        <v>221591</v>
      </c>
      <c r="D530" s="299">
        <v>13</v>
      </c>
      <c r="E530" s="148" t="s">
        <v>393</v>
      </c>
      <c r="F530" s="149" t="s">
        <v>393</v>
      </c>
      <c r="G530" s="679"/>
      <c r="H530" s="678"/>
      <c r="I530" s="679"/>
      <c r="J530" s="678"/>
      <c r="K530" s="679"/>
      <c r="L530" s="678"/>
      <c r="M530" s="679"/>
      <c r="N530" s="678"/>
      <c r="O530" s="694">
        <f t="shared" si="208"/>
        <v>0</v>
      </c>
      <c r="P530" s="695">
        <f t="shared" si="219"/>
        <v>0</v>
      </c>
      <c r="Q530" s="696">
        <f t="shared" si="209"/>
        <v>0</v>
      </c>
      <c r="R530" s="697">
        <f t="shared" si="187"/>
        <v>0</v>
      </c>
      <c r="S530" s="679"/>
      <c r="T530" s="678"/>
      <c r="U530" s="694">
        <f t="shared" si="210"/>
        <v>0</v>
      </c>
      <c r="V530" s="698">
        <f t="shared" si="211"/>
        <v>0</v>
      </c>
      <c r="W530" s="679"/>
      <c r="X530" s="678"/>
      <c r="Y530" s="679">
        <v>107793</v>
      </c>
      <c r="Z530" s="678">
        <v>146762</v>
      </c>
      <c r="AA530" s="679">
        <v>95938</v>
      </c>
      <c r="AB530" s="678">
        <v>139590</v>
      </c>
      <c r="AC530" s="679">
        <v>131254</v>
      </c>
      <c r="AD530" s="678">
        <v>142823</v>
      </c>
      <c r="AE530" s="694">
        <f t="shared" si="212"/>
        <v>334985</v>
      </c>
      <c r="AF530" s="695">
        <f t="shared" si="188"/>
        <v>372.20555555555558</v>
      </c>
      <c r="AG530" s="696">
        <f t="shared" si="213"/>
        <v>429175</v>
      </c>
      <c r="AH530" s="697">
        <f t="shared" si="189"/>
        <v>476.86111111111109</v>
      </c>
      <c r="AI530" s="679"/>
      <c r="AJ530" s="678"/>
      <c r="AK530" s="694">
        <f t="shared" si="214"/>
        <v>0</v>
      </c>
      <c r="AL530" s="698">
        <f t="shared" si="215"/>
        <v>0</v>
      </c>
      <c r="AM530" s="679"/>
      <c r="AN530" s="678"/>
      <c r="AO530" s="679"/>
      <c r="AP530" s="678"/>
      <c r="AQ530" s="679"/>
      <c r="AR530" s="678"/>
      <c r="AS530" s="679"/>
      <c r="AT530" s="678"/>
      <c r="AU530" s="699">
        <f t="shared" si="190"/>
        <v>0</v>
      </c>
      <c r="AV530" s="695">
        <f t="shared" si="218"/>
        <v>0</v>
      </c>
      <c r="AW530" s="696">
        <f t="shared" si="191"/>
        <v>0</v>
      </c>
      <c r="AX530" s="697">
        <f t="shared" si="192"/>
        <v>0</v>
      </c>
      <c r="AY530" s="700">
        <f t="shared" si="216"/>
        <v>372.20555555555558</v>
      </c>
      <c r="AZ530" s="697">
        <f t="shared" si="217"/>
        <v>476.86111111111109</v>
      </c>
      <c r="BA530" s="680"/>
    </row>
    <row r="531" spans="1:53">
      <c r="A531" s="514" t="s">
        <v>227</v>
      </c>
      <c r="B531" s="296" t="s">
        <v>255</v>
      </c>
      <c r="C531" s="289">
        <v>221430</v>
      </c>
      <c r="D531" s="299">
        <v>13</v>
      </c>
      <c r="E531" s="148" t="s">
        <v>393</v>
      </c>
      <c r="F531" s="149" t="s">
        <v>393</v>
      </c>
      <c r="G531" s="679"/>
      <c r="H531" s="678"/>
      <c r="I531" s="679"/>
      <c r="J531" s="678"/>
      <c r="K531" s="679"/>
      <c r="L531" s="678"/>
      <c r="M531" s="679"/>
      <c r="N531" s="678"/>
      <c r="O531" s="694">
        <f t="shared" si="208"/>
        <v>0</v>
      </c>
      <c r="P531" s="695">
        <f t="shared" si="219"/>
        <v>0</v>
      </c>
      <c r="Q531" s="696">
        <f t="shared" si="209"/>
        <v>0</v>
      </c>
      <c r="R531" s="697">
        <f t="shared" si="187"/>
        <v>0</v>
      </c>
      <c r="S531" s="679"/>
      <c r="T531" s="678"/>
      <c r="U531" s="694">
        <f t="shared" si="210"/>
        <v>0</v>
      </c>
      <c r="V531" s="698">
        <f t="shared" si="211"/>
        <v>0</v>
      </c>
      <c r="W531" s="679"/>
      <c r="X531" s="678"/>
      <c r="Y531" s="679">
        <v>77807</v>
      </c>
      <c r="Z531" s="678">
        <v>82549</v>
      </c>
      <c r="AA531" s="679">
        <v>70438</v>
      </c>
      <c r="AB531" s="678">
        <v>78804</v>
      </c>
      <c r="AC531" s="679">
        <v>84087</v>
      </c>
      <c r="AD531" s="678">
        <v>108907</v>
      </c>
      <c r="AE531" s="694">
        <f t="shared" si="212"/>
        <v>232332</v>
      </c>
      <c r="AF531" s="695">
        <f t="shared" si="188"/>
        <v>258.14666666666665</v>
      </c>
      <c r="AG531" s="696">
        <f t="shared" si="213"/>
        <v>270260</v>
      </c>
      <c r="AH531" s="697">
        <f t="shared" si="189"/>
        <v>300.28888888888889</v>
      </c>
      <c r="AI531" s="679"/>
      <c r="AJ531" s="678"/>
      <c r="AK531" s="694">
        <f t="shared" si="214"/>
        <v>0</v>
      </c>
      <c r="AL531" s="698">
        <f t="shared" si="215"/>
        <v>0</v>
      </c>
      <c r="AM531" s="679"/>
      <c r="AN531" s="678"/>
      <c r="AO531" s="679"/>
      <c r="AP531" s="678"/>
      <c r="AQ531" s="679"/>
      <c r="AR531" s="678"/>
      <c r="AS531" s="679"/>
      <c r="AT531" s="678"/>
      <c r="AU531" s="699">
        <f t="shared" si="190"/>
        <v>0</v>
      </c>
      <c r="AV531" s="695">
        <f t="shared" si="218"/>
        <v>0</v>
      </c>
      <c r="AW531" s="696">
        <f t="shared" si="191"/>
        <v>0</v>
      </c>
      <c r="AX531" s="697">
        <f t="shared" si="192"/>
        <v>0</v>
      </c>
      <c r="AY531" s="700">
        <f t="shared" si="216"/>
        <v>258.14666666666665</v>
      </c>
      <c r="AZ531" s="697">
        <f t="shared" si="217"/>
        <v>300.28888888888889</v>
      </c>
      <c r="BA531" s="680"/>
    </row>
    <row r="532" spans="1:53">
      <c r="A532" s="514" t="s">
        <v>227</v>
      </c>
      <c r="B532" s="296" t="s">
        <v>256</v>
      </c>
      <c r="C532" s="289">
        <v>219994</v>
      </c>
      <c r="D532" s="299">
        <v>13</v>
      </c>
      <c r="E532" s="148" t="s">
        <v>393</v>
      </c>
      <c r="F532" s="149" t="s">
        <v>393</v>
      </c>
      <c r="G532" s="679"/>
      <c r="H532" s="678"/>
      <c r="I532" s="679"/>
      <c r="J532" s="678"/>
      <c r="K532" s="679"/>
      <c r="L532" s="678"/>
      <c r="M532" s="679"/>
      <c r="N532" s="678"/>
      <c r="O532" s="694">
        <f t="shared" si="208"/>
        <v>0</v>
      </c>
      <c r="P532" s="695">
        <f t="shared" si="219"/>
        <v>0</v>
      </c>
      <c r="Q532" s="696">
        <f t="shared" si="209"/>
        <v>0</v>
      </c>
      <c r="R532" s="697">
        <f t="shared" si="187"/>
        <v>0</v>
      </c>
      <c r="S532" s="679"/>
      <c r="T532" s="678"/>
      <c r="U532" s="694">
        <f t="shared" si="210"/>
        <v>0</v>
      </c>
      <c r="V532" s="698">
        <f t="shared" si="211"/>
        <v>0</v>
      </c>
      <c r="W532" s="679"/>
      <c r="X532" s="678"/>
      <c r="Y532" s="679">
        <v>145228</v>
      </c>
      <c r="Z532" s="678">
        <v>166202</v>
      </c>
      <c r="AA532" s="679">
        <v>143510</v>
      </c>
      <c r="AB532" s="678">
        <v>158361</v>
      </c>
      <c r="AC532" s="679">
        <v>166274</v>
      </c>
      <c r="AD532" s="678">
        <v>197881</v>
      </c>
      <c r="AE532" s="694">
        <f t="shared" si="212"/>
        <v>455012</v>
      </c>
      <c r="AF532" s="695">
        <f t="shared" si="188"/>
        <v>505.56888888888886</v>
      </c>
      <c r="AG532" s="696">
        <f t="shared" si="213"/>
        <v>522444</v>
      </c>
      <c r="AH532" s="697">
        <f t="shared" si="189"/>
        <v>580.49333333333334</v>
      </c>
      <c r="AI532" s="679"/>
      <c r="AJ532" s="678"/>
      <c r="AK532" s="694">
        <f t="shared" si="214"/>
        <v>0</v>
      </c>
      <c r="AL532" s="698">
        <f t="shared" si="215"/>
        <v>0</v>
      </c>
      <c r="AM532" s="679"/>
      <c r="AN532" s="678"/>
      <c r="AO532" s="679"/>
      <c r="AP532" s="678"/>
      <c r="AQ532" s="679"/>
      <c r="AR532" s="678"/>
      <c r="AS532" s="679"/>
      <c r="AT532" s="678"/>
      <c r="AU532" s="699">
        <f t="shared" si="190"/>
        <v>0</v>
      </c>
      <c r="AV532" s="695">
        <f t="shared" si="218"/>
        <v>0</v>
      </c>
      <c r="AW532" s="696">
        <f t="shared" si="191"/>
        <v>0</v>
      </c>
      <c r="AX532" s="697">
        <f t="shared" si="192"/>
        <v>0</v>
      </c>
      <c r="AY532" s="700">
        <f t="shared" si="216"/>
        <v>505.56888888888886</v>
      </c>
      <c r="AZ532" s="697">
        <f t="shared" si="217"/>
        <v>580.49333333333334</v>
      </c>
      <c r="BA532" s="680"/>
    </row>
    <row r="533" spans="1:53">
      <c r="A533" s="514" t="s">
        <v>227</v>
      </c>
      <c r="B533" s="296" t="s">
        <v>257</v>
      </c>
      <c r="C533" s="289">
        <v>220127</v>
      </c>
      <c r="D533" s="299">
        <v>13</v>
      </c>
      <c r="E533" s="148" t="s">
        <v>393</v>
      </c>
      <c r="F533" s="149" t="s">
        <v>393</v>
      </c>
      <c r="G533" s="679"/>
      <c r="H533" s="678"/>
      <c r="I533" s="679"/>
      <c r="J533" s="678"/>
      <c r="K533" s="679"/>
      <c r="L533" s="678"/>
      <c r="M533" s="679"/>
      <c r="N533" s="678"/>
      <c r="O533" s="694">
        <f t="shared" si="208"/>
        <v>0</v>
      </c>
      <c r="P533" s="695">
        <f t="shared" si="219"/>
        <v>0</v>
      </c>
      <c r="Q533" s="696">
        <f t="shared" si="209"/>
        <v>0</v>
      </c>
      <c r="R533" s="697">
        <f t="shared" si="187"/>
        <v>0</v>
      </c>
      <c r="S533" s="679"/>
      <c r="T533" s="678"/>
      <c r="U533" s="694">
        <f t="shared" si="210"/>
        <v>0</v>
      </c>
      <c r="V533" s="698">
        <f t="shared" si="211"/>
        <v>0</v>
      </c>
      <c r="W533" s="679"/>
      <c r="X533" s="678"/>
      <c r="Y533" s="679">
        <v>162439</v>
      </c>
      <c r="Z533" s="678">
        <v>160450</v>
      </c>
      <c r="AA533" s="679">
        <v>153363</v>
      </c>
      <c r="AB533" s="678">
        <v>157416</v>
      </c>
      <c r="AC533" s="679">
        <v>154189</v>
      </c>
      <c r="AD533" s="678">
        <v>182091</v>
      </c>
      <c r="AE533" s="694">
        <f t="shared" si="212"/>
        <v>469991</v>
      </c>
      <c r="AF533" s="695">
        <f t="shared" si="188"/>
        <v>522.21222222222218</v>
      </c>
      <c r="AG533" s="696">
        <f t="shared" si="213"/>
        <v>499957</v>
      </c>
      <c r="AH533" s="697">
        <f t="shared" si="189"/>
        <v>555.50777777777773</v>
      </c>
      <c r="AI533" s="679"/>
      <c r="AJ533" s="678"/>
      <c r="AK533" s="694">
        <f t="shared" si="214"/>
        <v>0</v>
      </c>
      <c r="AL533" s="698">
        <f t="shared" si="215"/>
        <v>0</v>
      </c>
      <c r="AM533" s="679"/>
      <c r="AN533" s="678"/>
      <c r="AO533" s="679"/>
      <c r="AP533" s="678"/>
      <c r="AQ533" s="679"/>
      <c r="AR533" s="678"/>
      <c r="AS533" s="679"/>
      <c r="AT533" s="678"/>
      <c r="AU533" s="699">
        <f t="shared" si="190"/>
        <v>0</v>
      </c>
      <c r="AV533" s="695">
        <f t="shared" si="218"/>
        <v>0</v>
      </c>
      <c r="AW533" s="696">
        <f t="shared" si="191"/>
        <v>0</v>
      </c>
      <c r="AX533" s="697">
        <f t="shared" si="192"/>
        <v>0</v>
      </c>
      <c r="AY533" s="700">
        <f t="shared" si="216"/>
        <v>522.21222222222218</v>
      </c>
      <c r="AZ533" s="697">
        <f t="shared" si="217"/>
        <v>555.50777777777773</v>
      </c>
      <c r="BA533" s="680"/>
    </row>
    <row r="534" spans="1:53">
      <c r="A534" s="514" t="s">
        <v>227</v>
      </c>
      <c r="B534" s="296" t="s">
        <v>258</v>
      </c>
      <c r="C534" s="289">
        <v>220251</v>
      </c>
      <c r="D534" s="299">
        <v>13</v>
      </c>
      <c r="E534" s="148" t="s">
        <v>393</v>
      </c>
      <c r="F534" s="149" t="s">
        <v>393</v>
      </c>
      <c r="G534" s="679"/>
      <c r="H534" s="678"/>
      <c r="I534" s="679"/>
      <c r="J534" s="678"/>
      <c r="K534" s="679"/>
      <c r="L534" s="678"/>
      <c r="M534" s="679"/>
      <c r="N534" s="678"/>
      <c r="O534" s="694">
        <f t="shared" si="208"/>
        <v>0</v>
      </c>
      <c r="P534" s="695">
        <f t="shared" si="219"/>
        <v>0</v>
      </c>
      <c r="Q534" s="696">
        <f t="shared" si="209"/>
        <v>0</v>
      </c>
      <c r="R534" s="697">
        <f t="shared" si="187"/>
        <v>0</v>
      </c>
      <c r="S534" s="679"/>
      <c r="T534" s="678"/>
      <c r="U534" s="694">
        <f t="shared" si="210"/>
        <v>0</v>
      </c>
      <c r="V534" s="698">
        <f t="shared" si="211"/>
        <v>0</v>
      </c>
      <c r="W534" s="679"/>
      <c r="X534" s="678"/>
      <c r="Y534" s="679">
        <v>63627</v>
      </c>
      <c r="Z534" s="678">
        <v>85877</v>
      </c>
      <c r="AA534" s="679">
        <v>67253</v>
      </c>
      <c r="AB534" s="678">
        <v>92873</v>
      </c>
      <c r="AC534" s="679">
        <v>93494</v>
      </c>
      <c r="AD534" s="678">
        <v>116239</v>
      </c>
      <c r="AE534" s="694">
        <f t="shared" si="212"/>
        <v>224374</v>
      </c>
      <c r="AF534" s="695">
        <f t="shared" si="188"/>
        <v>249.30444444444444</v>
      </c>
      <c r="AG534" s="696">
        <f t="shared" si="213"/>
        <v>294989</v>
      </c>
      <c r="AH534" s="697">
        <f t="shared" si="189"/>
        <v>327.76555555555558</v>
      </c>
      <c r="AI534" s="679"/>
      <c r="AJ534" s="678"/>
      <c r="AK534" s="694">
        <f t="shared" si="214"/>
        <v>0</v>
      </c>
      <c r="AL534" s="698">
        <f t="shared" si="215"/>
        <v>0</v>
      </c>
      <c r="AM534" s="679"/>
      <c r="AN534" s="678"/>
      <c r="AO534" s="679"/>
      <c r="AP534" s="678"/>
      <c r="AQ534" s="679"/>
      <c r="AR534" s="678"/>
      <c r="AS534" s="679"/>
      <c r="AT534" s="678"/>
      <c r="AU534" s="699">
        <f t="shared" si="190"/>
        <v>0</v>
      </c>
      <c r="AV534" s="695">
        <f t="shared" si="218"/>
        <v>0</v>
      </c>
      <c r="AW534" s="696">
        <f t="shared" si="191"/>
        <v>0</v>
      </c>
      <c r="AX534" s="697">
        <f t="shared" si="192"/>
        <v>0</v>
      </c>
      <c r="AY534" s="700">
        <f t="shared" si="216"/>
        <v>249.30444444444444</v>
      </c>
      <c r="AZ534" s="697">
        <f t="shared" si="217"/>
        <v>327.76555555555558</v>
      </c>
      <c r="BA534" s="680"/>
    </row>
    <row r="535" spans="1:53">
      <c r="A535" s="514" t="s">
        <v>227</v>
      </c>
      <c r="B535" s="296" t="s">
        <v>259</v>
      </c>
      <c r="C535" s="289">
        <v>220279</v>
      </c>
      <c r="D535" s="299">
        <v>13</v>
      </c>
      <c r="E535" s="148" t="s">
        <v>393</v>
      </c>
      <c r="F535" s="149" t="s">
        <v>393</v>
      </c>
      <c r="G535" s="679"/>
      <c r="H535" s="678"/>
      <c r="I535" s="679"/>
      <c r="J535" s="678"/>
      <c r="K535" s="679"/>
      <c r="L535" s="678"/>
      <c r="M535" s="679"/>
      <c r="N535" s="678"/>
      <c r="O535" s="694">
        <f t="shared" si="208"/>
        <v>0</v>
      </c>
      <c r="P535" s="695">
        <f t="shared" si="219"/>
        <v>0</v>
      </c>
      <c r="Q535" s="696">
        <f t="shared" si="209"/>
        <v>0</v>
      </c>
      <c r="R535" s="697">
        <f t="shared" si="187"/>
        <v>0</v>
      </c>
      <c r="S535" s="679"/>
      <c r="T535" s="678"/>
      <c r="U535" s="694">
        <f t="shared" si="210"/>
        <v>0</v>
      </c>
      <c r="V535" s="698">
        <f t="shared" si="211"/>
        <v>0</v>
      </c>
      <c r="W535" s="679"/>
      <c r="X535" s="678"/>
      <c r="Y535" s="679">
        <v>72841</v>
      </c>
      <c r="Z535" s="678">
        <v>124316</v>
      </c>
      <c r="AA535" s="679">
        <v>75756</v>
      </c>
      <c r="AB535" s="678">
        <v>116097</v>
      </c>
      <c r="AC535" s="679">
        <v>119218</v>
      </c>
      <c r="AD535" s="678">
        <v>142930</v>
      </c>
      <c r="AE535" s="694">
        <f t="shared" si="212"/>
        <v>267815</v>
      </c>
      <c r="AF535" s="695">
        <f t="shared" si="188"/>
        <v>297.57222222222219</v>
      </c>
      <c r="AG535" s="696">
        <f t="shared" si="213"/>
        <v>383343</v>
      </c>
      <c r="AH535" s="697">
        <f t="shared" si="189"/>
        <v>425.93666666666667</v>
      </c>
      <c r="AI535" s="679"/>
      <c r="AJ535" s="678"/>
      <c r="AK535" s="694">
        <f t="shared" si="214"/>
        <v>0</v>
      </c>
      <c r="AL535" s="698">
        <f t="shared" si="215"/>
        <v>0</v>
      </c>
      <c r="AM535" s="679"/>
      <c r="AN535" s="678"/>
      <c r="AO535" s="679"/>
      <c r="AP535" s="678"/>
      <c r="AQ535" s="679"/>
      <c r="AR535" s="678"/>
      <c r="AS535" s="679"/>
      <c r="AT535" s="678"/>
      <c r="AU535" s="699">
        <f t="shared" si="190"/>
        <v>0</v>
      </c>
      <c r="AV535" s="695">
        <f t="shared" si="218"/>
        <v>0</v>
      </c>
      <c r="AW535" s="696">
        <f t="shared" si="191"/>
        <v>0</v>
      </c>
      <c r="AX535" s="697">
        <f t="shared" si="192"/>
        <v>0</v>
      </c>
      <c r="AY535" s="700">
        <f t="shared" si="216"/>
        <v>297.57222222222219</v>
      </c>
      <c r="AZ535" s="697">
        <f t="shared" si="217"/>
        <v>425.93666666666667</v>
      </c>
      <c r="BA535" s="680"/>
    </row>
    <row r="536" spans="1:53">
      <c r="A536" s="514" t="s">
        <v>227</v>
      </c>
      <c r="B536" s="296" t="s">
        <v>788</v>
      </c>
      <c r="C536" s="289">
        <v>220321</v>
      </c>
      <c r="D536" s="299">
        <v>13</v>
      </c>
      <c r="E536" s="148" t="s">
        <v>393</v>
      </c>
      <c r="F536" s="149" t="s">
        <v>393</v>
      </c>
      <c r="G536" s="679"/>
      <c r="H536" s="678"/>
      <c r="I536" s="679"/>
      <c r="J536" s="678"/>
      <c r="K536" s="679"/>
      <c r="L536" s="678"/>
      <c r="M536" s="679"/>
      <c r="N536" s="678"/>
      <c r="O536" s="694">
        <f t="shared" si="208"/>
        <v>0</v>
      </c>
      <c r="P536" s="695">
        <f t="shared" si="219"/>
        <v>0</v>
      </c>
      <c r="Q536" s="696">
        <f t="shared" si="209"/>
        <v>0</v>
      </c>
      <c r="R536" s="697">
        <f t="shared" si="187"/>
        <v>0</v>
      </c>
      <c r="S536" s="679"/>
      <c r="T536" s="678"/>
      <c r="U536" s="694">
        <f t="shared" si="210"/>
        <v>0</v>
      </c>
      <c r="V536" s="698">
        <f t="shared" si="211"/>
        <v>0</v>
      </c>
      <c r="W536" s="679"/>
      <c r="X536" s="678"/>
      <c r="Y536" s="679">
        <v>138721</v>
      </c>
      <c r="Z536" s="678">
        <v>148615</v>
      </c>
      <c r="AA536" s="679">
        <v>110226</v>
      </c>
      <c r="AB536" s="678">
        <v>138275</v>
      </c>
      <c r="AC536" s="679">
        <v>129947</v>
      </c>
      <c r="AD536" s="678">
        <v>155295</v>
      </c>
      <c r="AE536" s="694">
        <f t="shared" si="212"/>
        <v>378894</v>
      </c>
      <c r="AF536" s="695">
        <f t="shared" si="188"/>
        <v>420.99333333333334</v>
      </c>
      <c r="AG536" s="696">
        <f t="shared" si="213"/>
        <v>442185</v>
      </c>
      <c r="AH536" s="697">
        <f t="shared" si="189"/>
        <v>491.31666666666666</v>
      </c>
      <c r="AI536" s="679"/>
      <c r="AJ536" s="678"/>
      <c r="AK536" s="694">
        <f t="shared" si="214"/>
        <v>0</v>
      </c>
      <c r="AL536" s="698">
        <f t="shared" si="215"/>
        <v>0</v>
      </c>
      <c r="AM536" s="679"/>
      <c r="AN536" s="678"/>
      <c r="AO536" s="679"/>
      <c r="AP536" s="678"/>
      <c r="AQ536" s="679"/>
      <c r="AR536" s="678"/>
      <c r="AS536" s="679"/>
      <c r="AT536" s="678"/>
      <c r="AU536" s="699">
        <f t="shared" si="190"/>
        <v>0</v>
      </c>
      <c r="AV536" s="695">
        <f t="shared" si="218"/>
        <v>0</v>
      </c>
      <c r="AW536" s="696">
        <f t="shared" si="191"/>
        <v>0</v>
      </c>
      <c r="AX536" s="697">
        <f t="shared" si="192"/>
        <v>0</v>
      </c>
      <c r="AY536" s="700">
        <f t="shared" si="216"/>
        <v>420.99333333333334</v>
      </c>
      <c r="AZ536" s="697">
        <f t="shared" si="217"/>
        <v>491.31666666666666</v>
      </c>
      <c r="BA536" s="680"/>
    </row>
    <row r="537" spans="1:53">
      <c r="A537" s="514" t="s">
        <v>227</v>
      </c>
      <c r="B537" s="296" t="s">
        <v>262</v>
      </c>
      <c r="C537" s="289">
        <v>220394</v>
      </c>
      <c r="D537" s="299">
        <v>13</v>
      </c>
      <c r="E537" s="148" t="s">
        <v>393</v>
      </c>
      <c r="F537" s="149" t="s">
        <v>393</v>
      </c>
      <c r="G537" s="679"/>
      <c r="H537" s="678"/>
      <c r="I537" s="679"/>
      <c r="J537" s="678"/>
      <c r="K537" s="679"/>
      <c r="L537" s="678"/>
      <c r="M537" s="679"/>
      <c r="N537" s="678"/>
      <c r="O537" s="694">
        <f t="shared" si="208"/>
        <v>0</v>
      </c>
      <c r="P537" s="695">
        <f t="shared" si="219"/>
        <v>0</v>
      </c>
      <c r="Q537" s="696">
        <f t="shared" si="209"/>
        <v>0</v>
      </c>
      <c r="R537" s="697">
        <f t="shared" si="187"/>
        <v>0</v>
      </c>
      <c r="S537" s="679"/>
      <c r="T537" s="678"/>
      <c r="U537" s="694">
        <f t="shared" si="210"/>
        <v>0</v>
      </c>
      <c r="V537" s="698">
        <f t="shared" si="211"/>
        <v>0</v>
      </c>
      <c r="W537" s="679"/>
      <c r="X537" s="678"/>
      <c r="Y537" s="679">
        <v>50201</v>
      </c>
      <c r="Z537" s="678">
        <v>58414</v>
      </c>
      <c r="AA537" s="679">
        <v>44667</v>
      </c>
      <c r="AB537" s="678">
        <v>62482</v>
      </c>
      <c r="AC537" s="679">
        <v>63073</v>
      </c>
      <c r="AD537" s="678">
        <v>82312</v>
      </c>
      <c r="AE537" s="694">
        <f t="shared" si="212"/>
        <v>157941</v>
      </c>
      <c r="AF537" s="695">
        <f t="shared" si="188"/>
        <v>175.49</v>
      </c>
      <c r="AG537" s="696">
        <f t="shared" si="213"/>
        <v>203208</v>
      </c>
      <c r="AH537" s="697">
        <f t="shared" si="189"/>
        <v>225.78666666666666</v>
      </c>
      <c r="AI537" s="679"/>
      <c r="AJ537" s="678"/>
      <c r="AK537" s="694">
        <f t="shared" si="214"/>
        <v>0</v>
      </c>
      <c r="AL537" s="698">
        <f t="shared" si="215"/>
        <v>0</v>
      </c>
      <c r="AM537" s="679"/>
      <c r="AN537" s="678"/>
      <c r="AO537" s="679"/>
      <c r="AP537" s="678"/>
      <c r="AQ537" s="679"/>
      <c r="AR537" s="678"/>
      <c r="AS537" s="679"/>
      <c r="AT537" s="678"/>
      <c r="AU537" s="699">
        <f t="shared" si="190"/>
        <v>0</v>
      </c>
      <c r="AV537" s="695">
        <f t="shared" si="218"/>
        <v>0</v>
      </c>
      <c r="AW537" s="696">
        <f t="shared" si="191"/>
        <v>0</v>
      </c>
      <c r="AX537" s="697">
        <f t="shared" si="192"/>
        <v>0</v>
      </c>
      <c r="AY537" s="700">
        <f t="shared" si="216"/>
        <v>175.49</v>
      </c>
      <c r="AZ537" s="697">
        <f t="shared" si="217"/>
        <v>225.78666666666666</v>
      </c>
      <c r="BA537" s="680"/>
    </row>
    <row r="538" spans="1:53">
      <c r="A538" s="514" t="s">
        <v>227</v>
      </c>
      <c r="B538" s="296" t="s">
        <v>263</v>
      </c>
      <c r="C538" s="289">
        <v>221616</v>
      </c>
      <c r="D538" s="299">
        <v>13</v>
      </c>
      <c r="E538" s="148" t="s">
        <v>393</v>
      </c>
      <c r="F538" s="149" t="s">
        <v>393</v>
      </c>
      <c r="G538" s="679"/>
      <c r="H538" s="678"/>
      <c r="I538" s="679"/>
      <c r="J538" s="678"/>
      <c r="K538" s="679"/>
      <c r="L538" s="678"/>
      <c r="M538" s="679"/>
      <c r="N538" s="678"/>
      <c r="O538" s="694">
        <f t="shared" si="208"/>
        <v>0</v>
      </c>
      <c r="P538" s="695">
        <f t="shared" si="219"/>
        <v>0</v>
      </c>
      <c r="Q538" s="696">
        <f t="shared" si="209"/>
        <v>0</v>
      </c>
      <c r="R538" s="697">
        <f t="shared" si="187"/>
        <v>0</v>
      </c>
      <c r="S538" s="679"/>
      <c r="T538" s="678"/>
      <c r="U538" s="694">
        <f t="shared" si="210"/>
        <v>0</v>
      </c>
      <c r="V538" s="698">
        <f t="shared" si="211"/>
        <v>0</v>
      </c>
      <c r="W538" s="679"/>
      <c r="X538" s="678"/>
      <c r="Y538" s="679">
        <v>172479</v>
      </c>
      <c r="Z538" s="678">
        <v>195080</v>
      </c>
      <c r="AA538" s="679">
        <v>171979</v>
      </c>
      <c r="AB538" s="678">
        <v>186345</v>
      </c>
      <c r="AC538" s="679">
        <v>187537</v>
      </c>
      <c r="AD538" s="678">
        <v>235613</v>
      </c>
      <c r="AE538" s="694">
        <f t="shared" si="212"/>
        <v>531995</v>
      </c>
      <c r="AF538" s="695">
        <f t="shared" si="188"/>
        <v>591.10555555555561</v>
      </c>
      <c r="AG538" s="696">
        <f t="shared" si="213"/>
        <v>617038</v>
      </c>
      <c r="AH538" s="697">
        <f t="shared" si="189"/>
        <v>685.59777777777776</v>
      </c>
      <c r="AI538" s="679"/>
      <c r="AJ538" s="678"/>
      <c r="AK538" s="694">
        <f t="shared" si="214"/>
        <v>0</v>
      </c>
      <c r="AL538" s="698">
        <f t="shared" si="215"/>
        <v>0</v>
      </c>
      <c r="AM538" s="679"/>
      <c r="AN538" s="678"/>
      <c r="AO538" s="679"/>
      <c r="AP538" s="678"/>
      <c r="AQ538" s="679"/>
      <c r="AR538" s="678"/>
      <c r="AS538" s="679"/>
      <c r="AT538" s="678"/>
      <c r="AU538" s="699">
        <f t="shared" si="190"/>
        <v>0</v>
      </c>
      <c r="AV538" s="695">
        <f t="shared" si="218"/>
        <v>0</v>
      </c>
      <c r="AW538" s="696">
        <f t="shared" si="191"/>
        <v>0</v>
      </c>
      <c r="AX538" s="697">
        <f t="shared" si="192"/>
        <v>0</v>
      </c>
      <c r="AY538" s="700">
        <f t="shared" si="216"/>
        <v>591.10555555555561</v>
      </c>
      <c r="AZ538" s="697">
        <f t="shared" si="217"/>
        <v>685.59777777777776</v>
      </c>
      <c r="BA538" s="680"/>
    </row>
    <row r="539" spans="1:53">
      <c r="A539" s="514" t="s">
        <v>227</v>
      </c>
      <c r="B539" s="296" t="s">
        <v>264</v>
      </c>
      <c r="C539" s="289">
        <v>221625</v>
      </c>
      <c r="D539" s="299">
        <v>13</v>
      </c>
      <c r="E539" s="148" t="s">
        <v>393</v>
      </c>
      <c r="F539" s="149" t="s">
        <v>393</v>
      </c>
      <c r="G539" s="679"/>
      <c r="H539" s="678"/>
      <c r="I539" s="679"/>
      <c r="J539" s="678"/>
      <c r="K539" s="679"/>
      <c r="L539" s="678"/>
      <c r="M539" s="679"/>
      <c r="N539" s="678"/>
      <c r="O539" s="694">
        <f t="shared" si="208"/>
        <v>0</v>
      </c>
      <c r="P539" s="695">
        <f t="shared" si="219"/>
        <v>0</v>
      </c>
      <c r="Q539" s="696">
        <f t="shared" si="209"/>
        <v>0</v>
      </c>
      <c r="R539" s="697">
        <f t="shared" si="187"/>
        <v>0</v>
      </c>
      <c r="S539" s="679"/>
      <c r="T539" s="678"/>
      <c r="U539" s="694">
        <f t="shared" si="210"/>
        <v>0</v>
      </c>
      <c r="V539" s="698">
        <f t="shared" si="211"/>
        <v>0</v>
      </c>
      <c r="W539" s="679"/>
      <c r="X539" s="678"/>
      <c r="Y539" s="679">
        <v>186513</v>
      </c>
      <c r="Z539" s="678">
        <v>214268</v>
      </c>
      <c r="AA539" s="679">
        <v>192756</v>
      </c>
      <c r="AB539" s="678">
        <v>224202</v>
      </c>
      <c r="AC539" s="679">
        <v>218637</v>
      </c>
      <c r="AD539" s="678">
        <v>251524</v>
      </c>
      <c r="AE539" s="694">
        <f t="shared" si="212"/>
        <v>597906</v>
      </c>
      <c r="AF539" s="695">
        <f t="shared" si="188"/>
        <v>664.34</v>
      </c>
      <c r="AG539" s="696">
        <f t="shared" si="213"/>
        <v>689994</v>
      </c>
      <c r="AH539" s="697">
        <f t="shared" si="189"/>
        <v>766.66</v>
      </c>
      <c r="AI539" s="679"/>
      <c r="AJ539" s="678"/>
      <c r="AK539" s="694">
        <f t="shared" si="214"/>
        <v>0</v>
      </c>
      <c r="AL539" s="698">
        <f t="shared" si="215"/>
        <v>0</v>
      </c>
      <c r="AM539" s="679"/>
      <c r="AN539" s="678"/>
      <c r="AO539" s="679"/>
      <c r="AP539" s="678"/>
      <c r="AQ539" s="679"/>
      <c r="AR539" s="678"/>
      <c r="AS539" s="679"/>
      <c r="AT539" s="678"/>
      <c r="AU539" s="699">
        <f t="shared" si="190"/>
        <v>0</v>
      </c>
      <c r="AV539" s="695">
        <f t="shared" si="218"/>
        <v>0</v>
      </c>
      <c r="AW539" s="696">
        <f t="shared" si="191"/>
        <v>0</v>
      </c>
      <c r="AX539" s="697">
        <f t="shared" si="192"/>
        <v>0</v>
      </c>
      <c r="AY539" s="700">
        <f t="shared" si="216"/>
        <v>664.34</v>
      </c>
      <c r="AZ539" s="697">
        <f t="shared" si="217"/>
        <v>766.66</v>
      </c>
      <c r="BA539" s="680"/>
    </row>
    <row r="540" spans="1:53">
      <c r="A540" s="514" t="s">
        <v>227</v>
      </c>
      <c r="B540" s="296" t="s">
        <v>265</v>
      </c>
      <c r="C540" s="289">
        <v>220640</v>
      </c>
      <c r="D540" s="299">
        <v>13</v>
      </c>
      <c r="E540" s="148" t="s">
        <v>393</v>
      </c>
      <c r="F540" s="149" t="s">
        <v>393</v>
      </c>
      <c r="G540" s="679"/>
      <c r="H540" s="678"/>
      <c r="I540" s="679"/>
      <c r="J540" s="678"/>
      <c r="K540" s="679"/>
      <c r="L540" s="678"/>
      <c r="M540" s="679"/>
      <c r="N540" s="678"/>
      <c r="O540" s="694">
        <f t="shared" si="208"/>
        <v>0</v>
      </c>
      <c r="P540" s="695">
        <f t="shared" si="219"/>
        <v>0</v>
      </c>
      <c r="Q540" s="696">
        <f t="shared" si="209"/>
        <v>0</v>
      </c>
      <c r="R540" s="697">
        <f t="shared" si="187"/>
        <v>0</v>
      </c>
      <c r="S540" s="679"/>
      <c r="T540" s="678"/>
      <c r="U540" s="694">
        <f t="shared" si="210"/>
        <v>0</v>
      </c>
      <c r="V540" s="698">
        <f t="shared" si="211"/>
        <v>0</v>
      </c>
      <c r="W540" s="679"/>
      <c r="X540" s="678"/>
      <c r="Y540" s="679">
        <v>150732</v>
      </c>
      <c r="Z540" s="678">
        <v>153266</v>
      </c>
      <c r="AA540" s="679">
        <v>124841</v>
      </c>
      <c r="AB540" s="678">
        <v>123679</v>
      </c>
      <c r="AC540" s="679">
        <v>149280</v>
      </c>
      <c r="AD540" s="678">
        <v>155861</v>
      </c>
      <c r="AE540" s="694">
        <f t="shared" si="212"/>
        <v>424853</v>
      </c>
      <c r="AF540" s="695">
        <f t="shared" si="188"/>
        <v>472.05888888888887</v>
      </c>
      <c r="AG540" s="696">
        <f t="shared" si="213"/>
        <v>432806</v>
      </c>
      <c r="AH540" s="697">
        <f t="shared" si="189"/>
        <v>480.89555555555557</v>
      </c>
      <c r="AI540" s="679"/>
      <c r="AJ540" s="678"/>
      <c r="AK540" s="694">
        <f t="shared" si="214"/>
        <v>0</v>
      </c>
      <c r="AL540" s="698">
        <f t="shared" si="215"/>
        <v>0</v>
      </c>
      <c r="AM540" s="679"/>
      <c r="AN540" s="678"/>
      <c r="AO540" s="679"/>
      <c r="AP540" s="678"/>
      <c r="AQ540" s="679"/>
      <c r="AR540" s="678"/>
      <c r="AS540" s="679"/>
      <c r="AT540" s="678"/>
      <c r="AU540" s="699">
        <f t="shared" si="190"/>
        <v>0</v>
      </c>
      <c r="AV540" s="695">
        <f t="shared" si="218"/>
        <v>0</v>
      </c>
      <c r="AW540" s="696">
        <f t="shared" si="191"/>
        <v>0</v>
      </c>
      <c r="AX540" s="697">
        <f t="shared" si="192"/>
        <v>0</v>
      </c>
      <c r="AY540" s="700">
        <f t="shared" si="216"/>
        <v>472.05888888888887</v>
      </c>
      <c r="AZ540" s="697">
        <f t="shared" si="217"/>
        <v>480.89555555555557</v>
      </c>
      <c r="BA540" s="680"/>
    </row>
    <row r="541" spans="1:53">
      <c r="A541" s="514" t="s">
        <v>227</v>
      </c>
      <c r="B541" s="296" t="s">
        <v>266</v>
      </c>
      <c r="C541" s="289">
        <v>220756</v>
      </c>
      <c r="D541" s="299">
        <v>13</v>
      </c>
      <c r="E541" s="148" t="s">
        <v>393</v>
      </c>
      <c r="F541" s="149" t="s">
        <v>393</v>
      </c>
      <c r="G541" s="679"/>
      <c r="H541" s="678"/>
      <c r="I541" s="679"/>
      <c r="J541" s="678"/>
      <c r="K541" s="679"/>
      <c r="L541" s="678"/>
      <c r="M541" s="679"/>
      <c r="N541" s="678"/>
      <c r="O541" s="694">
        <f t="shared" si="208"/>
        <v>0</v>
      </c>
      <c r="P541" s="695">
        <f t="shared" si="219"/>
        <v>0</v>
      </c>
      <c r="Q541" s="696">
        <f t="shared" si="209"/>
        <v>0</v>
      </c>
      <c r="R541" s="697">
        <f t="shared" si="187"/>
        <v>0</v>
      </c>
      <c r="S541" s="679"/>
      <c r="T541" s="678"/>
      <c r="U541" s="694">
        <f t="shared" si="210"/>
        <v>0</v>
      </c>
      <c r="V541" s="698">
        <f t="shared" si="211"/>
        <v>0</v>
      </c>
      <c r="W541" s="679"/>
      <c r="X541" s="678"/>
      <c r="Y541" s="679">
        <v>85650</v>
      </c>
      <c r="Z541" s="678">
        <v>95481</v>
      </c>
      <c r="AA541" s="679">
        <v>74290</v>
      </c>
      <c r="AB541" s="678">
        <v>99244</v>
      </c>
      <c r="AC541" s="679">
        <v>95402</v>
      </c>
      <c r="AD541" s="678">
        <v>105764</v>
      </c>
      <c r="AE541" s="694">
        <f t="shared" si="212"/>
        <v>255342</v>
      </c>
      <c r="AF541" s="695">
        <f t="shared" si="188"/>
        <v>283.71333333333331</v>
      </c>
      <c r="AG541" s="696">
        <f t="shared" si="213"/>
        <v>300489</v>
      </c>
      <c r="AH541" s="697">
        <f t="shared" si="189"/>
        <v>333.87666666666667</v>
      </c>
      <c r="AI541" s="679"/>
      <c r="AJ541" s="678"/>
      <c r="AK541" s="694">
        <f t="shared" si="214"/>
        <v>0</v>
      </c>
      <c r="AL541" s="698">
        <f t="shared" si="215"/>
        <v>0</v>
      </c>
      <c r="AM541" s="679"/>
      <c r="AN541" s="678"/>
      <c r="AO541" s="679"/>
      <c r="AP541" s="678"/>
      <c r="AQ541" s="679"/>
      <c r="AR541" s="678"/>
      <c r="AS541" s="679"/>
      <c r="AT541" s="678"/>
      <c r="AU541" s="699">
        <f t="shared" si="190"/>
        <v>0</v>
      </c>
      <c r="AV541" s="695">
        <f t="shared" si="218"/>
        <v>0</v>
      </c>
      <c r="AW541" s="696">
        <f t="shared" si="191"/>
        <v>0</v>
      </c>
      <c r="AX541" s="697">
        <f t="shared" si="192"/>
        <v>0</v>
      </c>
      <c r="AY541" s="700">
        <f t="shared" si="216"/>
        <v>283.71333333333331</v>
      </c>
      <c r="AZ541" s="697">
        <f t="shared" si="217"/>
        <v>333.87666666666667</v>
      </c>
      <c r="BA541" s="680"/>
    </row>
    <row r="542" spans="1:53">
      <c r="A542" s="514" t="s">
        <v>227</v>
      </c>
      <c r="B542" s="296" t="s">
        <v>267</v>
      </c>
      <c r="C542" s="289">
        <v>221607</v>
      </c>
      <c r="D542" s="299">
        <v>13</v>
      </c>
      <c r="E542" s="148" t="s">
        <v>393</v>
      </c>
      <c r="F542" s="149" t="s">
        <v>393</v>
      </c>
      <c r="G542" s="679"/>
      <c r="H542" s="678"/>
      <c r="I542" s="679"/>
      <c r="J542" s="678"/>
      <c r="K542" s="679"/>
      <c r="L542" s="678"/>
      <c r="M542" s="679"/>
      <c r="N542" s="678"/>
      <c r="O542" s="694">
        <f t="shared" si="208"/>
        <v>0</v>
      </c>
      <c r="P542" s="695">
        <f t="shared" si="219"/>
        <v>0</v>
      </c>
      <c r="Q542" s="696">
        <f t="shared" si="209"/>
        <v>0</v>
      </c>
      <c r="R542" s="697">
        <f t="shared" si="187"/>
        <v>0</v>
      </c>
      <c r="S542" s="679"/>
      <c r="T542" s="678"/>
      <c r="U542" s="694">
        <f t="shared" si="210"/>
        <v>0</v>
      </c>
      <c r="V542" s="698">
        <f t="shared" si="211"/>
        <v>0</v>
      </c>
      <c r="W542" s="679"/>
      <c r="X542" s="678"/>
      <c r="Y542" s="679">
        <v>72144</v>
      </c>
      <c r="Z542" s="678">
        <v>94790</v>
      </c>
      <c r="AA542" s="679">
        <v>71465</v>
      </c>
      <c r="AB542" s="678">
        <v>92031</v>
      </c>
      <c r="AC542" s="679">
        <v>88486</v>
      </c>
      <c r="AD542" s="678">
        <v>116441</v>
      </c>
      <c r="AE542" s="694">
        <f t="shared" si="212"/>
        <v>232095</v>
      </c>
      <c r="AF542" s="695">
        <f t="shared" si="188"/>
        <v>257.88333333333333</v>
      </c>
      <c r="AG542" s="696">
        <f t="shared" si="213"/>
        <v>303262</v>
      </c>
      <c r="AH542" s="697">
        <f t="shared" si="189"/>
        <v>336.95777777777778</v>
      </c>
      <c r="AI542" s="679"/>
      <c r="AJ542" s="678"/>
      <c r="AK542" s="694">
        <f t="shared" si="214"/>
        <v>0</v>
      </c>
      <c r="AL542" s="698">
        <f t="shared" si="215"/>
        <v>0</v>
      </c>
      <c r="AM542" s="679"/>
      <c r="AN542" s="678"/>
      <c r="AO542" s="679"/>
      <c r="AP542" s="678"/>
      <c r="AQ542" s="679"/>
      <c r="AR542" s="678"/>
      <c r="AS542" s="679"/>
      <c r="AT542" s="678"/>
      <c r="AU542" s="699">
        <f t="shared" si="190"/>
        <v>0</v>
      </c>
      <c r="AV542" s="695">
        <f t="shared" si="218"/>
        <v>0</v>
      </c>
      <c r="AW542" s="696">
        <f t="shared" si="191"/>
        <v>0</v>
      </c>
      <c r="AX542" s="697">
        <f t="shared" si="192"/>
        <v>0</v>
      </c>
      <c r="AY542" s="700">
        <f t="shared" si="216"/>
        <v>257.88333333333333</v>
      </c>
      <c r="AZ542" s="697">
        <f t="shared" si="217"/>
        <v>336.95777777777778</v>
      </c>
      <c r="BA542" s="680"/>
    </row>
    <row r="543" spans="1:53">
      <c r="A543" s="514" t="s">
        <v>227</v>
      </c>
      <c r="B543" s="296" t="s">
        <v>268</v>
      </c>
      <c r="C543" s="289">
        <v>220853</v>
      </c>
      <c r="D543" s="299">
        <v>13</v>
      </c>
      <c r="E543" s="148" t="s">
        <v>393</v>
      </c>
      <c r="F543" s="149" t="s">
        <v>393</v>
      </c>
      <c r="G543" s="679"/>
      <c r="H543" s="678"/>
      <c r="I543" s="679"/>
      <c r="J543" s="678"/>
      <c r="K543" s="679"/>
      <c r="L543" s="678"/>
      <c r="M543" s="679"/>
      <c r="N543" s="678"/>
      <c r="O543" s="694">
        <f t="shared" si="208"/>
        <v>0</v>
      </c>
      <c r="P543" s="695">
        <f t="shared" si="219"/>
        <v>0</v>
      </c>
      <c r="Q543" s="696">
        <f t="shared" si="209"/>
        <v>0</v>
      </c>
      <c r="R543" s="697">
        <f t="shared" si="187"/>
        <v>0</v>
      </c>
      <c r="S543" s="679"/>
      <c r="T543" s="678"/>
      <c r="U543" s="694">
        <f t="shared" si="210"/>
        <v>0</v>
      </c>
      <c r="V543" s="698">
        <f t="shared" si="211"/>
        <v>0</v>
      </c>
      <c r="W543" s="679"/>
      <c r="X543" s="678"/>
      <c r="Y543" s="679">
        <v>256106</v>
      </c>
      <c r="Z543" s="678">
        <v>253245</v>
      </c>
      <c r="AA543" s="679">
        <v>227890</v>
      </c>
      <c r="AB543" s="678">
        <v>234382</v>
      </c>
      <c r="AC543" s="679">
        <v>244138</v>
      </c>
      <c r="AD543" s="678">
        <v>247835</v>
      </c>
      <c r="AE543" s="694">
        <f t="shared" si="212"/>
        <v>728134</v>
      </c>
      <c r="AF543" s="695">
        <f t="shared" si="188"/>
        <v>809.03777777777782</v>
      </c>
      <c r="AG543" s="696">
        <f t="shared" si="213"/>
        <v>735462</v>
      </c>
      <c r="AH543" s="697">
        <f t="shared" si="189"/>
        <v>817.18</v>
      </c>
      <c r="AI543" s="679"/>
      <c r="AJ543" s="678"/>
      <c r="AK543" s="694">
        <f t="shared" si="214"/>
        <v>0</v>
      </c>
      <c r="AL543" s="698">
        <f t="shared" si="215"/>
        <v>0</v>
      </c>
      <c r="AM543" s="679"/>
      <c r="AN543" s="678"/>
      <c r="AO543" s="679"/>
      <c r="AP543" s="678"/>
      <c r="AQ543" s="679"/>
      <c r="AR543" s="678"/>
      <c r="AS543" s="679"/>
      <c r="AT543" s="678"/>
      <c r="AU543" s="699">
        <f t="shared" si="190"/>
        <v>0</v>
      </c>
      <c r="AV543" s="695">
        <f t="shared" si="218"/>
        <v>0</v>
      </c>
      <c r="AW543" s="696">
        <f t="shared" si="191"/>
        <v>0</v>
      </c>
      <c r="AX543" s="697">
        <f t="shared" si="192"/>
        <v>0</v>
      </c>
      <c r="AY543" s="700">
        <f t="shared" si="216"/>
        <v>809.03777777777782</v>
      </c>
      <c r="AZ543" s="697">
        <f t="shared" si="217"/>
        <v>817.18</v>
      </c>
      <c r="BA543" s="680"/>
    </row>
    <row r="544" spans="1:53">
      <c r="A544" s="514" t="s">
        <v>227</v>
      </c>
      <c r="B544" s="296" t="s">
        <v>269</v>
      </c>
      <c r="C544" s="289">
        <v>221050</v>
      </c>
      <c r="D544" s="299">
        <v>13</v>
      </c>
      <c r="E544" s="148" t="s">
        <v>393</v>
      </c>
      <c r="F544" s="149" t="s">
        <v>393</v>
      </c>
      <c r="G544" s="679"/>
      <c r="H544" s="678"/>
      <c r="I544" s="679"/>
      <c r="J544" s="678"/>
      <c r="K544" s="679"/>
      <c r="L544" s="678"/>
      <c r="M544" s="679"/>
      <c r="N544" s="678"/>
      <c r="O544" s="694">
        <f t="shared" si="208"/>
        <v>0</v>
      </c>
      <c r="P544" s="695">
        <f t="shared" si="219"/>
        <v>0</v>
      </c>
      <c r="Q544" s="696">
        <f t="shared" si="209"/>
        <v>0</v>
      </c>
      <c r="R544" s="697">
        <f t="shared" si="187"/>
        <v>0</v>
      </c>
      <c r="S544" s="679"/>
      <c r="T544" s="678"/>
      <c r="U544" s="694">
        <f t="shared" si="210"/>
        <v>0</v>
      </c>
      <c r="V544" s="698">
        <f t="shared" si="211"/>
        <v>0</v>
      </c>
      <c r="W544" s="679"/>
      <c r="X544" s="678"/>
      <c r="Y544" s="679">
        <v>180931</v>
      </c>
      <c r="Z544" s="678">
        <v>202261</v>
      </c>
      <c r="AA544" s="679">
        <v>173966</v>
      </c>
      <c r="AB544" s="678">
        <v>203765</v>
      </c>
      <c r="AC544" s="679">
        <v>197528</v>
      </c>
      <c r="AD544" s="678">
        <v>228728</v>
      </c>
      <c r="AE544" s="694">
        <f t="shared" si="212"/>
        <v>552425</v>
      </c>
      <c r="AF544" s="695">
        <f t="shared" si="188"/>
        <v>613.80555555555554</v>
      </c>
      <c r="AG544" s="696">
        <f t="shared" si="213"/>
        <v>634754</v>
      </c>
      <c r="AH544" s="697">
        <f t="shared" si="189"/>
        <v>705.28222222222223</v>
      </c>
      <c r="AI544" s="679"/>
      <c r="AJ544" s="678"/>
      <c r="AK544" s="694">
        <f t="shared" si="214"/>
        <v>0</v>
      </c>
      <c r="AL544" s="698">
        <f t="shared" si="215"/>
        <v>0</v>
      </c>
      <c r="AM544" s="679"/>
      <c r="AN544" s="678"/>
      <c r="AO544" s="679"/>
      <c r="AP544" s="678"/>
      <c r="AQ544" s="679"/>
      <c r="AR544" s="678"/>
      <c r="AS544" s="679"/>
      <c r="AT544" s="678"/>
      <c r="AU544" s="699">
        <f t="shared" si="190"/>
        <v>0</v>
      </c>
      <c r="AV544" s="695">
        <f t="shared" si="218"/>
        <v>0</v>
      </c>
      <c r="AW544" s="696">
        <f t="shared" si="191"/>
        <v>0</v>
      </c>
      <c r="AX544" s="697">
        <f t="shared" si="192"/>
        <v>0</v>
      </c>
      <c r="AY544" s="700">
        <f t="shared" si="216"/>
        <v>613.80555555555554</v>
      </c>
      <c r="AZ544" s="697">
        <f t="shared" si="217"/>
        <v>705.28222222222223</v>
      </c>
      <c r="BA544" s="680"/>
    </row>
    <row r="545" spans="1:53">
      <c r="A545" s="514" t="s">
        <v>227</v>
      </c>
      <c r="B545" s="296" t="s">
        <v>270</v>
      </c>
      <c r="C545" s="289">
        <v>221102</v>
      </c>
      <c r="D545" s="299">
        <v>13</v>
      </c>
      <c r="E545" s="148" t="s">
        <v>393</v>
      </c>
      <c r="F545" s="149" t="s">
        <v>393</v>
      </c>
      <c r="G545" s="679"/>
      <c r="H545" s="678"/>
      <c r="I545" s="679"/>
      <c r="J545" s="678"/>
      <c r="K545" s="679"/>
      <c r="L545" s="678"/>
      <c r="M545" s="679"/>
      <c r="N545" s="678"/>
      <c r="O545" s="694">
        <f t="shared" si="208"/>
        <v>0</v>
      </c>
      <c r="P545" s="695">
        <f t="shared" si="219"/>
        <v>0</v>
      </c>
      <c r="Q545" s="696">
        <f t="shared" si="209"/>
        <v>0</v>
      </c>
      <c r="R545" s="697">
        <f t="shared" si="187"/>
        <v>0</v>
      </c>
      <c r="S545" s="679"/>
      <c r="T545" s="678"/>
      <c r="U545" s="694">
        <f t="shared" si="210"/>
        <v>0</v>
      </c>
      <c r="V545" s="698">
        <f t="shared" si="211"/>
        <v>0</v>
      </c>
      <c r="W545" s="679"/>
      <c r="X545" s="678"/>
      <c r="Y545" s="679">
        <v>130806</v>
      </c>
      <c r="Z545" s="678">
        <v>133600</v>
      </c>
      <c r="AA545" s="679">
        <v>132996</v>
      </c>
      <c r="AB545" s="678">
        <v>146744</v>
      </c>
      <c r="AC545" s="679">
        <v>137140</v>
      </c>
      <c r="AD545" s="678">
        <v>153075</v>
      </c>
      <c r="AE545" s="694">
        <f t="shared" si="212"/>
        <v>400942</v>
      </c>
      <c r="AF545" s="695">
        <f t="shared" si="188"/>
        <v>445.49111111111114</v>
      </c>
      <c r="AG545" s="696">
        <f t="shared" si="213"/>
        <v>433419</v>
      </c>
      <c r="AH545" s="697">
        <f t="shared" si="189"/>
        <v>481.57666666666665</v>
      </c>
      <c r="AI545" s="679"/>
      <c r="AJ545" s="678"/>
      <c r="AK545" s="694">
        <f t="shared" si="214"/>
        <v>0</v>
      </c>
      <c r="AL545" s="698">
        <f t="shared" si="215"/>
        <v>0</v>
      </c>
      <c r="AM545" s="679"/>
      <c r="AN545" s="678"/>
      <c r="AO545" s="679"/>
      <c r="AP545" s="678"/>
      <c r="AQ545" s="679"/>
      <c r="AR545" s="678"/>
      <c r="AS545" s="679"/>
      <c r="AT545" s="678"/>
      <c r="AU545" s="699">
        <f t="shared" si="190"/>
        <v>0</v>
      </c>
      <c r="AV545" s="695">
        <f t="shared" si="218"/>
        <v>0</v>
      </c>
      <c r="AW545" s="696">
        <f t="shared" si="191"/>
        <v>0</v>
      </c>
      <c r="AX545" s="697">
        <f t="shared" si="192"/>
        <v>0</v>
      </c>
      <c r="AY545" s="700">
        <f t="shared" si="216"/>
        <v>445.49111111111114</v>
      </c>
      <c r="AZ545" s="697">
        <f t="shared" si="217"/>
        <v>481.57666666666665</v>
      </c>
      <c r="BA545" s="680"/>
    </row>
    <row r="546" spans="1:53">
      <c r="A546" s="514" t="s">
        <v>227</v>
      </c>
      <c r="B546" s="296" t="s">
        <v>271</v>
      </c>
      <c r="C546" s="289">
        <v>248925</v>
      </c>
      <c r="D546" s="299">
        <v>13</v>
      </c>
      <c r="E546" s="148" t="s">
        <v>393</v>
      </c>
      <c r="F546" s="149" t="s">
        <v>393</v>
      </c>
      <c r="G546" s="679"/>
      <c r="H546" s="678"/>
      <c r="I546" s="679"/>
      <c r="J546" s="678"/>
      <c r="K546" s="679"/>
      <c r="L546" s="678"/>
      <c r="M546" s="679"/>
      <c r="N546" s="678"/>
      <c r="O546" s="694">
        <f t="shared" si="208"/>
        <v>0</v>
      </c>
      <c r="P546" s="695">
        <f t="shared" si="219"/>
        <v>0</v>
      </c>
      <c r="Q546" s="696">
        <f t="shared" si="209"/>
        <v>0</v>
      </c>
      <c r="R546" s="697">
        <f t="shared" si="187"/>
        <v>0</v>
      </c>
      <c r="S546" s="679"/>
      <c r="T546" s="678"/>
      <c r="U546" s="694">
        <f t="shared" si="210"/>
        <v>0</v>
      </c>
      <c r="V546" s="698">
        <f t="shared" si="211"/>
        <v>0</v>
      </c>
      <c r="W546" s="679"/>
      <c r="X546" s="678"/>
      <c r="Y546" s="679">
        <v>223707</v>
      </c>
      <c r="Z546" s="678">
        <v>214059</v>
      </c>
      <c r="AA546" s="679">
        <v>196070</v>
      </c>
      <c r="AB546" s="678">
        <v>204348</v>
      </c>
      <c r="AC546" s="679">
        <v>221870</v>
      </c>
      <c r="AD546" s="678">
        <v>242434</v>
      </c>
      <c r="AE546" s="694">
        <f t="shared" si="212"/>
        <v>641647</v>
      </c>
      <c r="AF546" s="695">
        <f t="shared" si="188"/>
        <v>712.94111111111113</v>
      </c>
      <c r="AG546" s="696">
        <f t="shared" si="213"/>
        <v>660841</v>
      </c>
      <c r="AH546" s="697">
        <f t="shared" si="189"/>
        <v>734.26777777777772</v>
      </c>
      <c r="AI546" s="679"/>
      <c r="AJ546" s="678"/>
      <c r="AK546" s="694">
        <f t="shared" si="214"/>
        <v>0</v>
      </c>
      <c r="AL546" s="698">
        <f t="shared" si="215"/>
        <v>0</v>
      </c>
      <c r="AM546" s="679"/>
      <c r="AN546" s="678"/>
      <c r="AO546" s="679"/>
      <c r="AP546" s="678"/>
      <c r="AQ546" s="679"/>
      <c r="AR546" s="678"/>
      <c r="AS546" s="679"/>
      <c r="AT546" s="678"/>
      <c r="AU546" s="699">
        <f t="shared" si="190"/>
        <v>0</v>
      </c>
      <c r="AV546" s="695">
        <f t="shared" si="218"/>
        <v>0</v>
      </c>
      <c r="AW546" s="696">
        <f t="shared" si="191"/>
        <v>0</v>
      </c>
      <c r="AX546" s="697">
        <f t="shared" si="192"/>
        <v>0</v>
      </c>
      <c r="AY546" s="700">
        <f t="shared" si="216"/>
        <v>712.94111111111113</v>
      </c>
      <c r="AZ546" s="697">
        <f t="shared" si="217"/>
        <v>734.26777777777772</v>
      </c>
      <c r="BA546" s="680"/>
    </row>
    <row r="547" spans="1:53">
      <c r="A547" s="514" t="s">
        <v>227</v>
      </c>
      <c r="B547" s="296" t="s">
        <v>272</v>
      </c>
      <c r="C547" s="289">
        <v>221236</v>
      </c>
      <c r="D547" s="299">
        <v>13</v>
      </c>
      <c r="E547" s="148" t="s">
        <v>393</v>
      </c>
      <c r="F547" s="149" t="s">
        <v>393</v>
      </c>
      <c r="G547" s="679"/>
      <c r="H547" s="678"/>
      <c r="I547" s="679"/>
      <c r="J547" s="678"/>
      <c r="K547" s="679"/>
      <c r="L547" s="678"/>
      <c r="M547" s="679"/>
      <c r="N547" s="678"/>
      <c r="O547" s="694">
        <f t="shared" si="208"/>
        <v>0</v>
      </c>
      <c r="P547" s="695">
        <f t="shared" si="219"/>
        <v>0</v>
      </c>
      <c r="Q547" s="696">
        <f t="shared" si="209"/>
        <v>0</v>
      </c>
      <c r="R547" s="697">
        <f t="shared" si="187"/>
        <v>0</v>
      </c>
      <c r="S547" s="679"/>
      <c r="T547" s="678"/>
      <c r="U547" s="694">
        <f t="shared" si="210"/>
        <v>0</v>
      </c>
      <c r="V547" s="698">
        <f t="shared" si="211"/>
        <v>0</v>
      </c>
      <c r="W547" s="679"/>
      <c r="X547" s="678"/>
      <c r="Y547" s="679">
        <v>64564</v>
      </c>
      <c r="Z547" s="678">
        <v>88235</v>
      </c>
      <c r="AA547" s="679">
        <v>52782</v>
      </c>
      <c r="AB547" s="678">
        <v>77712</v>
      </c>
      <c r="AC547" s="679">
        <v>84404</v>
      </c>
      <c r="AD547" s="678">
        <v>109761</v>
      </c>
      <c r="AE547" s="694">
        <f t="shared" si="212"/>
        <v>201750</v>
      </c>
      <c r="AF547" s="695">
        <f t="shared" si="188"/>
        <v>224.16666666666666</v>
      </c>
      <c r="AG547" s="696">
        <f t="shared" si="213"/>
        <v>275708</v>
      </c>
      <c r="AH547" s="697">
        <f t="shared" si="189"/>
        <v>306.34222222222223</v>
      </c>
      <c r="AI547" s="679"/>
      <c r="AJ547" s="678"/>
      <c r="AK547" s="694">
        <f t="shared" si="214"/>
        <v>0</v>
      </c>
      <c r="AL547" s="698">
        <f t="shared" si="215"/>
        <v>0</v>
      </c>
      <c r="AM547" s="679"/>
      <c r="AN547" s="678"/>
      <c r="AO547" s="679"/>
      <c r="AP547" s="678"/>
      <c r="AQ547" s="679"/>
      <c r="AR547" s="678"/>
      <c r="AS547" s="679"/>
      <c r="AT547" s="678"/>
      <c r="AU547" s="699">
        <f t="shared" si="190"/>
        <v>0</v>
      </c>
      <c r="AV547" s="695">
        <f t="shared" si="218"/>
        <v>0</v>
      </c>
      <c r="AW547" s="696">
        <f t="shared" si="191"/>
        <v>0</v>
      </c>
      <c r="AX547" s="697">
        <f t="shared" si="192"/>
        <v>0</v>
      </c>
      <c r="AY547" s="700">
        <f t="shared" si="216"/>
        <v>224.16666666666666</v>
      </c>
      <c r="AZ547" s="697">
        <f t="shared" si="217"/>
        <v>306.34222222222223</v>
      </c>
      <c r="BA547" s="680"/>
    </row>
    <row r="548" spans="1:53">
      <c r="A548" s="514" t="s">
        <v>227</v>
      </c>
      <c r="B548" s="296" t="s">
        <v>273</v>
      </c>
      <c r="C548" s="289">
        <v>221582</v>
      </c>
      <c r="D548" s="299">
        <v>13</v>
      </c>
      <c r="E548" s="148" t="s">
        <v>393</v>
      </c>
      <c r="F548" s="149" t="s">
        <v>393</v>
      </c>
      <c r="G548" s="679"/>
      <c r="H548" s="678"/>
      <c r="I548" s="679"/>
      <c r="J548" s="678"/>
      <c r="K548" s="679"/>
      <c r="L548" s="678"/>
      <c r="M548" s="679"/>
      <c r="N548" s="678"/>
      <c r="O548" s="694">
        <f t="shared" si="208"/>
        <v>0</v>
      </c>
      <c r="P548" s="695">
        <f t="shared" si="219"/>
        <v>0</v>
      </c>
      <c r="Q548" s="696">
        <f t="shared" si="209"/>
        <v>0</v>
      </c>
      <c r="R548" s="697">
        <f t="shared" si="187"/>
        <v>0</v>
      </c>
      <c r="S548" s="679"/>
      <c r="T548" s="678"/>
      <c r="U548" s="694">
        <f t="shared" si="210"/>
        <v>0</v>
      </c>
      <c r="V548" s="698">
        <f t="shared" si="211"/>
        <v>0</v>
      </c>
      <c r="W548" s="679"/>
      <c r="X548" s="678"/>
      <c r="Y548" s="679">
        <v>85794</v>
      </c>
      <c r="Z548" s="678">
        <v>93781</v>
      </c>
      <c r="AA548" s="679">
        <v>56031</v>
      </c>
      <c r="AB548" s="678">
        <v>76317</v>
      </c>
      <c r="AC548" s="679">
        <v>97416</v>
      </c>
      <c r="AD548" s="678">
        <v>130436</v>
      </c>
      <c r="AE548" s="694">
        <f t="shared" si="212"/>
        <v>239241</v>
      </c>
      <c r="AF548" s="695">
        <f t="shared" si="188"/>
        <v>265.82333333333332</v>
      </c>
      <c r="AG548" s="696">
        <f t="shared" si="213"/>
        <v>300534</v>
      </c>
      <c r="AH548" s="697">
        <f t="shared" si="189"/>
        <v>333.92666666666668</v>
      </c>
      <c r="AI548" s="679"/>
      <c r="AJ548" s="678"/>
      <c r="AK548" s="694">
        <f t="shared" si="214"/>
        <v>0</v>
      </c>
      <c r="AL548" s="698">
        <f t="shared" si="215"/>
        <v>0</v>
      </c>
      <c r="AM548" s="679"/>
      <c r="AN548" s="678"/>
      <c r="AO548" s="679"/>
      <c r="AP548" s="678"/>
      <c r="AQ548" s="679"/>
      <c r="AR548" s="678"/>
      <c r="AS548" s="679"/>
      <c r="AT548" s="678"/>
      <c r="AU548" s="699">
        <f t="shared" si="190"/>
        <v>0</v>
      </c>
      <c r="AV548" s="695">
        <f t="shared" si="218"/>
        <v>0</v>
      </c>
      <c r="AW548" s="696">
        <f t="shared" si="191"/>
        <v>0</v>
      </c>
      <c r="AX548" s="697">
        <f t="shared" si="192"/>
        <v>0</v>
      </c>
      <c r="AY548" s="700">
        <f t="shared" si="216"/>
        <v>265.82333333333332</v>
      </c>
      <c r="AZ548" s="697">
        <f t="shared" si="217"/>
        <v>333.92666666666668</v>
      </c>
      <c r="BA548" s="680"/>
    </row>
    <row r="549" spans="1:53">
      <c r="A549" s="514" t="s">
        <v>227</v>
      </c>
      <c r="B549" s="296" t="s">
        <v>274</v>
      </c>
      <c r="C549" s="289">
        <v>221281</v>
      </c>
      <c r="D549" s="299">
        <v>13</v>
      </c>
      <c r="E549" s="148" t="s">
        <v>393</v>
      </c>
      <c r="F549" s="149" t="s">
        <v>393</v>
      </c>
      <c r="G549" s="679"/>
      <c r="H549" s="678"/>
      <c r="I549" s="679"/>
      <c r="J549" s="678"/>
      <c r="K549" s="679"/>
      <c r="L549" s="678"/>
      <c r="M549" s="679"/>
      <c r="N549" s="678"/>
      <c r="O549" s="694">
        <f t="shared" si="208"/>
        <v>0</v>
      </c>
      <c r="P549" s="695">
        <f t="shared" si="219"/>
        <v>0</v>
      </c>
      <c r="Q549" s="696">
        <f t="shared" si="209"/>
        <v>0</v>
      </c>
      <c r="R549" s="697">
        <f t="shared" si="187"/>
        <v>0</v>
      </c>
      <c r="S549" s="679"/>
      <c r="T549" s="678"/>
      <c r="U549" s="694">
        <f t="shared" si="210"/>
        <v>0</v>
      </c>
      <c r="V549" s="698">
        <f t="shared" si="211"/>
        <v>0</v>
      </c>
      <c r="W549" s="679"/>
      <c r="X549" s="678"/>
      <c r="Y549" s="679">
        <v>106589</v>
      </c>
      <c r="Z549" s="678">
        <v>117139</v>
      </c>
      <c r="AA549" s="679">
        <v>106050</v>
      </c>
      <c r="AB549" s="678">
        <v>112590</v>
      </c>
      <c r="AC549" s="679">
        <v>119050</v>
      </c>
      <c r="AD549" s="678">
        <v>115958</v>
      </c>
      <c r="AE549" s="694">
        <f t="shared" si="212"/>
        <v>331689</v>
      </c>
      <c r="AF549" s="695">
        <f t="shared" si="188"/>
        <v>368.54333333333335</v>
      </c>
      <c r="AG549" s="696">
        <f t="shared" si="213"/>
        <v>345687</v>
      </c>
      <c r="AH549" s="697">
        <f t="shared" si="189"/>
        <v>384.09666666666669</v>
      </c>
      <c r="AI549" s="679"/>
      <c r="AJ549" s="678"/>
      <c r="AK549" s="694">
        <f t="shared" si="214"/>
        <v>0</v>
      </c>
      <c r="AL549" s="698">
        <f t="shared" si="215"/>
        <v>0</v>
      </c>
      <c r="AM549" s="679"/>
      <c r="AN549" s="678"/>
      <c r="AO549" s="679"/>
      <c r="AP549" s="678"/>
      <c r="AQ549" s="679"/>
      <c r="AR549" s="678"/>
      <c r="AS549" s="679"/>
      <c r="AT549" s="678"/>
      <c r="AU549" s="699">
        <f t="shared" si="190"/>
        <v>0</v>
      </c>
      <c r="AV549" s="695">
        <f t="shared" si="218"/>
        <v>0</v>
      </c>
      <c r="AW549" s="696">
        <f t="shared" si="191"/>
        <v>0</v>
      </c>
      <c r="AX549" s="697">
        <f t="shared" si="192"/>
        <v>0</v>
      </c>
      <c r="AY549" s="700">
        <f t="shared" si="216"/>
        <v>368.54333333333335</v>
      </c>
      <c r="AZ549" s="697">
        <f t="shared" si="217"/>
        <v>384.09666666666669</v>
      </c>
      <c r="BA549" s="680"/>
    </row>
    <row r="550" spans="1:53">
      <c r="A550" s="514" t="s">
        <v>227</v>
      </c>
      <c r="B550" s="296" t="s">
        <v>275</v>
      </c>
      <c r="C550" s="289">
        <v>221333</v>
      </c>
      <c r="D550" s="299">
        <v>13</v>
      </c>
      <c r="E550" s="148" t="s">
        <v>393</v>
      </c>
      <c r="F550" s="149" t="s">
        <v>393</v>
      </c>
      <c r="G550" s="679"/>
      <c r="H550" s="678"/>
      <c r="I550" s="679"/>
      <c r="J550" s="678"/>
      <c r="K550" s="679"/>
      <c r="L550" s="678"/>
      <c r="M550" s="679"/>
      <c r="N550" s="678"/>
      <c r="O550" s="694">
        <f t="shared" si="208"/>
        <v>0</v>
      </c>
      <c r="P550" s="695">
        <f t="shared" si="219"/>
        <v>0</v>
      </c>
      <c r="Q550" s="696">
        <f t="shared" si="209"/>
        <v>0</v>
      </c>
      <c r="R550" s="697">
        <f t="shared" si="187"/>
        <v>0</v>
      </c>
      <c r="S550" s="679"/>
      <c r="T550" s="678"/>
      <c r="U550" s="694">
        <f t="shared" si="210"/>
        <v>0</v>
      </c>
      <c r="V550" s="698">
        <f t="shared" si="211"/>
        <v>0</v>
      </c>
      <c r="W550" s="679"/>
      <c r="X550" s="678"/>
      <c r="Y550" s="679">
        <v>96821</v>
      </c>
      <c r="Z550" s="678">
        <v>128133</v>
      </c>
      <c r="AA550" s="679">
        <v>64269</v>
      </c>
      <c r="AB550" s="678">
        <v>100183</v>
      </c>
      <c r="AC550" s="679">
        <v>108692</v>
      </c>
      <c r="AD550" s="678">
        <v>196874</v>
      </c>
      <c r="AE550" s="694">
        <f t="shared" si="212"/>
        <v>269782</v>
      </c>
      <c r="AF550" s="695">
        <f t="shared" si="188"/>
        <v>299.75777777777779</v>
      </c>
      <c r="AG550" s="696">
        <f t="shared" si="213"/>
        <v>425190</v>
      </c>
      <c r="AH550" s="697">
        <f t="shared" si="189"/>
        <v>472.43333333333334</v>
      </c>
      <c r="AI550" s="679"/>
      <c r="AJ550" s="678"/>
      <c r="AK550" s="694">
        <f t="shared" si="214"/>
        <v>0</v>
      </c>
      <c r="AL550" s="698">
        <f t="shared" si="215"/>
        <v>0</v>
      </c>
      <c r="AM550" s="679"/>
      <c r="AN550" s="678"/>
      <c r="AO550" s="679"/>
      <c r="AP550" s="678"/>
      <c r="AQ550" s="679"/>
      <c r="AR550" s="678"/>
      <c r="AS550" s="679"/>
      <c r="AT550" s="678"/>
      <c r="AU550" s="699">
        <f t="shared" si="190"/>
        <v>0</v>
      </c>
      <c r="AV550" s="695">
        <f t="shared" si="218"/>
        <v>0</v>
      </c>
      <c r="AW550" s="696">
        <f t="shared" si="191"/>
        <v>0</v>
      </c>
      <c r="AX550" s="697">
        <f t="shared" si="192"/>
        <v>0</v>
      </c>
      <c r="AY550" s="700">
        <f t="shared" si="216"/>
        <v>299.75777777777779</v>
      </c>
      <c r="AZ550" s="697">
        <f t="shared" si="217"/>
        <v>472.43333333333334</v>
      </c>
      <c r="BA550" s="680"/>
    </row>
    <row r="551" spans="1:53">
      <c r="A551" s="514" t="s">
        <v>227</v>
      </c>
      <c r="B551" s="296" t="s">
        <v>276</v>
      </c>
      <c r="C551" s="289">
        <v>221388</v>
      </c>
      <c r="D551" s="299">
        <v>13</v>
      </c>
      <c r="E551" s="148" t="s">
        <v>393</v>
      </c>
      <c r="F551" s="149" t="s">
        <v>393</v>
      </c>
      <c r="G551" s="679"/>
      <c r="H551" s="678"/>
      <c r="I551" s="679"/>
      <c r="J551" s="678"/>
      <c r="K551" s="679"/>
      <c r="L551" s="678"/>
      <c r="M551" s="679"/>
      <c r="N551" s="678"/>
      <c r="O551" s="694">
        <f t="shared" si="208"/>
        <v>0</v>
      </c>
      <c r="P551" s="695">
        <f t="shared" si="219"/>
        <v>0</v>
      </c>
      <c r="Q551" s="696">
        <f t="shared" si="209"/>
        <v>0</v>
      </c>
      <c r="R551" s="697">
        <f t="shared" ref="R551:R614" si="220">+Q551/30</f>
        <v>0</v>
      </c>
      <c r="S551" s="679"/>
      <c r="T551" s="678"/>
      <c r="U551" s="694">
        <f t="shared" si="210"/>
        <v>0</v>
      </c>
      <c r="V551" s="698">
        <f t="shared" si="211"/>
        <v>0</v>
      </c>
      <c r="W551" s="679"/>
      <c r="X551" s="678"/>
      <c r="Y551" s="679">
        <v>46566</v>
      </c>
      <c r="Z551" s="678">
        <v>65310</v>
      </c>
      <c r="AA551" s="679">
        <v>51498</v>
      </c>
      <c r="AB551" s="678">
        <v>61985</v>
      </c>
      <c r="AC551" s="679">
        <v>61821</v>
      </c>
      <c r="AD551" s="678">
        <v>77010</v>
      </c>
      <c r="AE551" s="694">
        <f t="shared" si="212"/>
        <v>159885</v>
      </c>
      <c r="AF551" s="695">
        <f t="shared" ref="AF551:AF614" si="221">+AE551/900</f>
        <v>177.65</v>
      </c>
      <c r="AG551" s="696">
        <f t="shared" si="213"/>
        <v>204305</v>
      </c>
      <c r="AH551" s="697">
        <f t="shared" ref="AH551:AH614" si="222">+AG551/900</f>
        <v>227.00555555555556</v>
      </c>
      <c r="AI551" s="679"/>
      <c r="AJ551" s="678"/>
      <c r="AK551" s="694">
        <f t="shared" si="214"/>
        <v>0</v>
      </c>
      <c r="AL551" s="698">
        <f t="shared" si="215"/>
        <v>0</v>
      </c>
      <c r="AM551" s="679"/>
      <c r="AN551" s="678"/>
      <c r="AO551" s="679"/>
      <c r="AP551" s="678"/>
      <c r="AQ551" s="679"/>
      <c r="AR551" s="678"/>
      <c r="AS551" s="679"/>
      <c r="AT551" s="678"/>
      <c r="AU551" s="699">
        <f t="shared" ref="AU551:AU614" si="223">SUM(AM551,AO551,AQ551,AS551)</f>
        <v>0</v>
      </c>
      <c r="AV551" s="695">
        <f t="shared" si="218"/>
        <v>0</v>
      </c>
      <c r="AW551" s="696">
        <f t="shared" ref="AW551:AW614" si="224">SUM(AN551,AP551,AR551,AT551)</f>
        <v>0</v>
      </c>
      <c r="AX551" s="697">
        <f t="shared" ref="AX551:AX614" si="225">+AW551/24</f>
        <v>0</v>
      </c>
      <c r="AY551" s="700">
        <f t="shared" si="216"/>
        <v>177.65</v>
      </c>
      <c r="AZ551" s="697">
        <f t="shared" si="217"/>
        <v>227.00555555555556</v>
      </c>
      <c r="BA551" s="680"/>
    </row>
    <row r="552" spans="1:53">
      <c r="A552" s="514" t="s">
        <v>227</v>
      </c>
      <c r="B552" s="296" t="s">
        <v>277</v>
      </c>
      <c r="C552" s="289">
        <v>221494</v>
      </c>
      <c r="D552" s="299">
        <v>13</v>
      </c>
      <c r="E552" s="148" t="s">
        <v>393</v>
      </c>
      <c r="F552" s="149" t="s">
        <v>393</v>
      </c>
      <c r="G552" s="679"/>
      <c r="H552" s="678"/>
      <c r="I552" s="679"/>
      <c r="J552" s="678"/>
      <c r="K552" s="679"/>
      <c r="L552" s="678"/>
      <c r="M552" s="679"/>
      <c r="N552" s="678"/>
      <c r="O552" s="694">
        <f t="shared" si="208"/>
        <v>0</v>
      </c>
      <c r="P552" s="695">
        <f t="shared" si="219"/>
        <v>0</v>
      </c>
      <c r="Q552" s="696">
        <f t="shared" si="209"/>
        <v>0</v>
      </c>
      <c r="R552" s="697">
        <f t="shared" si="220"/>
        <v>0</v>
      </c>
      <c r="S552" s="679"/>
      <c r="T552" s="678"/>
      <c r="U552" s="694">
        <f t="shared" si="210"/>
        <v>0</v>
      </c>
      <c r="V552" s="698">
        <f t="shared" si="211"/>
        <v>0</v>
      </c>
      <c r="W552" s="679"/>
      <c r="X552" s="678"/>
      <c r="Y552" s="679">
        <v>152767</v>
      </c>
      <c r="Z552" s="678">
        <v>161903</v>
      </c>
      <c r="AA552" s="679">
        <v>139757</v>
      </c>
      <c r="AB552" s="678">
        <v>186914</v>
      </c>
      <c r="AC552" s="679">
        <v>172706</v>
      </c>
      <c r="AD552" s="678">
        <v>223473</v>
      </c>
      <c r="AE552" s="694">
        <f t="shared" si="212"/>
        <v>465230</v>
      </c>
      <c r="AF552" s="695">
        <f t="shared" si="221"/>
        <v>516.92222222222222</v>
      </c>
      <c r="AG552" s="696">
        <f t="shared" si="213"/>
        <v>572290</v>
      </c>
      <c r="AH552" s="697">
        <f t="shared" si="222"/>
        <v>635.87777777777774</v>
      </c>
      <c r="AI552" s="679"/>
      <c r="AJ552" s="678"/>
      <c r="AK552" s="694">
        <f t="shared" si="214"/>
        <v>0</v>
      </c>
      <c r="AL552" s="698">
        <f t="shared" si="215"/>
        <v>0</v>
      </c>
      <c r="AM552" s="679"/>
      <c r="AN552" s="678"/>
      <c r="AO552" s="679"/>
      <c r="AP552" s="678"/>
      <c r="AQ552" s="679"/>
      <c r="AR552" s="678"/>
      <c r="AS552" s="679"/>
      <c r="AT552" s="678"/>
      <c r="AU552" s="699">
        <f t="shared" si="223"/>
        <v>0</v>
      </c>
      <c r="AV552" s="695">
        <f t="shared" si="218"/>
        <v>0</v>
      </c>
      <c r="AW552" s="696">
        <f t="shared" si="224"/>
        <v>0</v>
      </c>
      <c r="AX552" s="697">
        <f t="shared" si="225"/>
        <v>0</v>
      </c>
      <c r="AY552" s="700">
        <f t="shared" si="216"/>
        <v>516.92222222222222</v>
      </c>
      <c r="AZ552" s="697">
        <f t="shared" si="217"/>
        <v>635.87777777777774</v>
      </c>
      <c r="BA552" s="680"/>
    </row>
    <row r="553" spans="1:53">
      <c r="A553" s="514" t="s">
        <v>227</v>
      </c>
      <c r="B553" s="296" t="s">
        <v>278</v>
      </c>
      <c r="C553" s="289">
        <v>221634</v>
      </c>
      <c r="D553" s="299">
        <v>13</v>
      </c>
      <c r="E553" s="148" t="s">
        <v>393</v>
      </c>
      <c r="F553" s="149" t="s">
        <v>393</v>
      </c>
      <c r="G553" s="679"/>
      <c r="H553" s="678"/>
      <c r="I553" s="679"/>
      <c r="J553" s="678"/>
      <c r="K553" s="679"/>
      <c r="L553" s="678"/>
      <c r="M553" s="679"/>
      <c r="N553" s="678"/>
      <c r="O553" s="694">
        <f t="shared" si="208"/>
        <v>0</v>
      </c>
      <c r="P553" s="695">
        <f t="shared" si="219"/>
        <v>0</v>
      </c>
      <c r="Q553" s="696">
        <f t="shared" si="209"/>
        <v>0</v>
      </c>
      <c r="R553" s="697">
        <f t="shared" si="220"/>
        <v>0</v>
      </c>
      <c r="S553" s="679"/>
      <c r="T553" s="678"/>
      <c r="U553" s="694">
        <f t="shared" si="210"/>
        <v>0</v>
      </c>
      <c r="V553" s="698">
        <f t="shared" si="211"/>
        <v>0</v>
      </c>
      <c r="W553" s="679"/>
      <c r="X553" s="678"/>
      <c r="Y553" s="679">
        <v>53107</v>
      </c>
      <c r="Z553" s="678">
        <v>62125</v>
      </c>
      <c r="AA553" s="679">
        <v>53371</v>
      </c>
      <c r="AB553" s="678">
        <v>58200</v>
      </c>
      <c r="AC553" s="679">
        <v>60776</v>
      </c>
      <c r="AD553" s="678">
        <v>69704</v>
      </c>
      <c r="AE553" s="694">
        <f t="shared" si="212"/>
        <v>167254</v>
      </c>
      <c r="AF553" s="695">
        <f t="shared" si="221"/>
        <v>185.83777777777777</v>
      </c>
      <c r="AG553" s="696">
        <f t="shared" si="213"/>
        <v>190029</v>
      </c>
      <c r="AH553" s="697">
        <f t="shared" si="222"/>
        <v>211.14333333333335</v>
      </c>
      <c r="AI553" s="679"/>
      <c r="AJ553" s="678"/>
      <c r="AK553" s="694">
        <f t="shared" si="214"/>
        <v>0</v>
      </c>
      <c r="AL553" s="698">
        <f t="shared" si="215"/>
        <v>0</v>
      </c>
      <c r="AM553" s="679"/>
      <c r="AN553" s="678"/>
      <c r="AO553" s="679"/>
      <c r="AP553" s="678"/>
      <c r="AQ553" s="679"/>
      <c r="AR553" s="678"/>
      <c r="AS553" s="679"/>
      <c r="AT553" s="678"/>
      <c r="AU553" s="699">
        <f t="shared" si="223"/>
        <v>0</v>
      </c>
      <c r="AV553" s="695">
        <f t="shared" si="218"/>
        <v>0</v>
      </c>
      <c r="AW553" s="696">
        <f t="shared" si="224"/>
        <v>0</v>
      </c>
      <c r="AX553" s="697">
        <f t="shared" si="225"/>
        <v>0</v>
      </c>
      <c r="AY553" s="700">
        <f t="shared" si="216"/>
        <v>185.83777777777777</v>
      </c>
      <c r="AZ553" s="697">
        <f t="shared" si="217"/>
        <v>211.14333333333335</v>
      </c>
      <c r="BA553" s="680"/>
    </row>
    <row r="554" spans="1:53">
      <c r="A554" s="517" t="s">
        <v>279</v>
      </c>
      <c r="B554" s="290" t="s">
        <v>849</v>
      </c>
      <c r="C554" s="297">
        <v>228723</v>
      </c>
      <c r="D554" s="153">
        <v>1</v>
      </c>
      <c r="E554" s="148" t="s">
        <v>393</v>
      </c>
      <c r="F554" s="549" t="s">
        <v>393</v>
      </c>
      <c r="G554" s="679"/>
      <c r="H554" s="678"/>
      <c r="I554" s="679">
        <v>465351</v>
      </c>
      <c r="J554" s="678">
        <v>473014</v>
      </c>
      <c r="K554" s="679">
        <v>80477</v>
      </c>
      <c r="L554" s="678">
        <v>74384</v>
      </c>
      <c r="M554" s="679">
        <v>512032</v>
      </c>
      <c r="N554" s="678">
        <v>514938</v>
      </c>
      <c r="O554" s="694">
        <f t="shared" si="208"/>
        <v>1057860</v>
      </c>
      <c r="P554" s="695">
        <f t="shared" si="219"/>
        <v>35262</v>
      </c>
      <c r="Q554" s="696">
        <f t="shared" si="209"/>
        <v>1062336</v>
      </c>
      <c r="R554" s="697">
        <f t="shared" si="220"/>
        <v>35411.199999999997</v>
      </c>
      <c r="S554" s="679">
        <v>0</v>
      </c>
      <c r="T554" s="678">
        <v>0</v>
      </c>
      <c r="U554" s="694">
        <f t="shared" si="210"/>
        <v>1057860</v>
      </c>
      <c r="V554" s="698">
        <f t="shared" si="211"/>
        <v>1062336</v>
      </c>
      <c r="W554" s="679"/>
      <c r="X554" s="678"/>
      <c r="Y554" s="679"/>
      <c r="Z554" s="678"/>
      <c r="AA554" s="679"/>
      <c r="AB554" s="678"/>
      <c r="AC554" s="679"/>
      <c r="AD554" s="678"/>
      <c r="AE554" s="694">
        <f t="shared" si="212"/>
        <v>0</v>
      </c>
      <c r="AF554" s="695">
        <f t="shared" si="221"/>
        <v>0</v>
      </c>
      <c r="AG554" s="696">
        <f t="shared" si="213"/>
        <v>0</v>
      </c>
      <c r="AH554" s="697">
        <f t="shared" si="222"/>
        <v>0</v>
      </c>
      <c r="AI554" s="679"/>
      <c r="AJ554" s="678"/>
      <c r="AK554" s="694">
        <f t="shared" si="214"/>
        <v>0</v>
      </c>
      <c r="AL554" s="698">
        <f t="shared" si="215"/>
        <v>0</v>
      </c>
      <c r="AM554" s="679"/>
      <c r="AN554" s="678"/>
      <c r="AO554" s="679">
        <v>65539</v>
      </c>
      <c r="AP554" s="678">
        <v>68298</v>
      </c>
      <c r="AQ554" s="679">
        <v>27780</v>
      </c>
      <c r="AR554" s="678">
        <v>27671</v>
      </c>
      <c r="AS554" s="679">
        <v>74606</v>
      </c>
      <c r="AT554" s="678">
        <v>77199</v>
      </c>
      <c r="AU554" s="699">
        <f t="shared" si="223"/>
        <v>167925</v>
      </c>
      <c r="AV554" s="695">
        <f t="shared" si="218"/>
        <v>6996.875</v>
      </c>
      <c r="AW554" s="696">
        <f t="shared" si="224"/>
        <v>173168</v>
      </c>
      <c r="AX554" s="697">
        <f t="shared" si="225"/>
        <v>7215.333333333333</v>
      </c>
      <c r="AY554" s="700">
        <f t="shared" si="216"/>
        <v>42258.875</v>
      </c>
      <c r="AZ554" s="697">
        <f t="shared" si="217"/>
        <v>42626.533333333333</v>
      </c>
      <c r="BA554" s="680"/>
    </row>
    <row r="555" spans="1:53">
      <c r="A555" s="517" t="s">
        <v>279</v>
      </c>
      <c r="B555" s="290" t="s">
        <v>280</v>
      </c>
      <c r="C555" s="297">
        <v>229115</v>
      </c>
      <c r="D555" s="153">
        <v>1</v>
      </c>
      <c r="E555" s="148" t="s">
        <v>393</v>
      </c>
      <c r="F555" s="549" t="s">
        <v>393</v>
      </c>
      <c r="G555" s="679"/>
      <c r="H555" s="678"/>
      <c r="I555" s="679">
        <v>282456</v>
      </c>
      <c r="J555" s="678">
        <v>275750</v>
      </c>
      <c r="K555" s="679">
        <v>54233</v>
      </c>
      <c r="L555" s="678">
        <v>51752</v>
      </c>
      <c r="M555" s="679">
        <v>313686</v>
      </c>
      <c r="N555" s="678">
        <v>321333</v>
      </c>
      <c r="O555" s="694">
        <f t="shared" si="208"/>
        <v>650375</v>
      </c>
      <c r="P555" s="695">
        <f t="shared" si="219"/>
        <v>21679.166666666668</v>
      </c>
      <c r="Q555" s="696">
        <f t="shared" si="209"/>
        <v>648835</v>
      </c>
      <c r="R555" s="697">
        <f t="shared" si="220"/>
        <v>21627.833333333332</v>
      </c>
      <c r="S555" s="679">
        <v>0</v>
      </c>
      <c r="T555" s="678">
        <v>0</v>
      </c>
      <c r="U555" s="694">
        <f t="shared" si="210"/>
        <v>650375</v>
      </c>
      <c r="V555" s="698">
        <f t="shared" si="211"/>
        <v>648835</v>
      </c>
      <c r="W555" s="679"/>
      <c r="X555" s="678"/>
      <c r="Y555" s="679"/>
      <c r="Z555" s="678"/>
      <c r="AA555" s="679"/>
      <c r="AB555" s="678"/>
      <c r="AC555" s="679"/>
      <c r="AD555" s="678"/>
      <c r="AE555" s="694">
        <f t="shared" si="212"/>
        <v>0</v>
      </c>
      <c r="AF555" s="695">
        <f t="shared" si="221"/>
        <v>0</v>
      </c>
      <c r="AG555" s="696">
        <f t="shared" si="213"/>
        <v>0</v>
      </c>
      <c r="AH555" s="697">
        <f t="shared" si="222"/>
        <v>0</v>
      </c>
      <c r="AI555" s="679"/>
      <c r="AJ555" s="678"/>
      <c r="AK555" s="694">
        <f t="shared" si="214"/>
        <v>0</v>
      </c>
      <c r="AL555" s="698">
        <f t="shared" si="215"/>
        <v>0</v>
      </c>
      <c r="AM555" s="679"/>
      <c r="AN555" s="678"/>
      <c r="AO555" s="679">
        <v>42758</v>
      </c>
      <c r="AP555" s="678">
        <v>43138</v>
      </c>
      <c r="AQ555" s="679">
        <v>18097</v>
      </c>
      <c r="AR555" s="678">
        <v>18616</v>
      </c>
      <c r="AS555" s="679">
        <v>44925</v>
      </c>
      <c r="AT555" s="678">
        <v>48015</v>
      </c>
      <c r="AU555" s="699">
        <f t="shared" si="223"/>
        <v>105780</v>
      </c>
      <c r="AV555" s="695">
        <f t="shared" si="218"/>
        <v>4407.5</v>
      </c>
      <c r="AW555" s="696">
        <f t="shared" si="224"/>
        <v>109769</v>
      </c>
      <c r="AX555" s="697">
        <f t="shared" si="225"/>
        <v>4573.708333333333</v>
      </c>
      <c r="AY555" s="700">
        <f t="shared" si="216"/>
        <v>26086.666666666668</v>
      </c>
      <c r="AZ555" s="697">
        <f t="shared" si="217"/>
        <v>26201.541666666664</v>
      </c>
      <c r="BA555" s="680"/>
    </row>
    <row r="556" spans="1:53">
      <c r="A556" s="517" t="s">
        <v>279</v>
      </c>
      <c r="B556" s="290" t="s">
        <v>281</v>
      </c>
      <c r="C556" s="297">
        <v>225511</v>
      </c>
      <c r="D556" s="153">
        <v>1</v>
      </c>
      <c r="E556" s="148" t="s">
        <v>393</v>
      </c>
      <c r="F556" s="549" t="s">
        <v>393</v>
      </c>
      <c r="G556" s="679"/>
      <c r="H556" s="678"/>
      <c r="I556" s="679">
        <v>297732</v>
      </c>
      <c r="J556" s="678">
        <v>308296</v>
      </c>
      <c r="K556" s="679">
        <v>57700</v>
      </c>
      <c r="L556" s="678">
        <v>57218</v>
      </c>
      <c r="M556" s="679">
        <v>334757</v>
      </c>
      <c r="N556" s="678">
        <v>341681</v>
      </c>
      <c r="O556" s="694">
        <f t="shared" si="208"/>
        <v>690189</v>
      </c>
      <c r="P556" s="695">
        <f t="shared" si="219"/>
        <v>23006.3</v>
      </c>
      <c r="Q556" s="696">
        <f t="shared" si="209"/>
        <v>707195</v>
      </c>
      <c r="R556" s="697">
        <f t="shared" si="220"/>
        <v>23573.166666666668</v>
      </c>
      <c r="S556" s="679">
        <v>0</v>
      </c>
      <c r="T556" s="678">
        <v>0</v>
      </c>
      <c r="U556" s="694">
        <f t="shared" si="210"/>
        <v>690189</v>
      </c>
      <c r="V556" s="698">
        <f t="shared" si="211"/>
        <v>707195</v>
      </c>
      <c r="W556" s="679"/>
      <c r="X556" s="678"/>
      <c r="Y556" s="679"/>
      <c r="Z556" s="678"/>
      <c r="AA556" s="679"/>
      <c r="AB556" s="678"/>
      <c r="AC556" s="679"/>
      <c r="AD556" s="678"/>
      <c r="AE556" s="694">
        <f t="shared" si="212"/>
        <v>0</v>
      </c>
      <c r="AF556" s="695">
        <f t="shared" si="221"/>
        <v>0</v>
      </c>
      <c r="AG556" s="696">
        <f t="shared" si="213"/>
        <v>0</v>
      </c>
      <c r="AH556" s="697">
        <f t="shared" si="222"/>
        <v>0</v>
      </c>
      <c r="AI556" s="679"/>
      <c r="AJ556" s="678"/>
      <c r="AK556" s="694">
        <f t="shared" si="214"/>
        <v>0</v>
      </c>
      <c r="AL556" s="698">
        <f t="shared" si="215"/>
        <v>0</v>
      </c>
      <c r="AM556" s="679"/>
      <c r="AN556" s="678"/>
      <c r="AO556" s="679">
        <v>67386</v>
      </c>
      <c r="AP556" s="678">
        <v>70294</v>
      </c>
      <c r="AQ556" s="679">
        <v>22111</v>
      </c>
      <c r="AR556" s="678">
        <v>21827</v>
      </c>
      <c r="AS556" s="679">
        <v>72150</v>
      </c>
      <c r="AT556" s="678">
        <v>76113</v>
      </c>
      <c r="AU556" s="699">
        <f t="shared" si="223"/>
        <v>161647</v>
      </c>
      <c r="AV556" s="695">
        <f t="shared" si="218"/>
        <v>6735.291666666667</v>
      </c>
      <c r="AW556" s="696">
        <f t="shared" si="224"/>
        <v>168234</v>
      </c>
      <c r="AX556" s="697">
        <f t="shared" si="225"/>
        <v>7009.75</v>
      </c>
      <c r="AY556" s="700">
        <f t="shared" si="216"/>
        <v>29741.591666666667</v>
      </c>
      <c r="AZ556" s="697">
        <f t="shared" si="217"/>
        <v>30582.916666666668</v>
      </c>
      <c r="BA556" s="680"/>
    </row>
    <row r="557" spans="1:53">
      <c r="A557" s="517" t="s">
        <v>279</v>
      </c>
      <c r="B557" s="290" t="s">
        <v>282</v>
      </c>
      <c r="C557" s="297">
        <v>227216</v>
      </c>
      <c r="D557" s="153">
        <v>1</v>
      </c>
      <c r="E557" s="148" t="s">
        <v>393</v>
      </c>
      <c r="F557" s="549" t="s">
        <v>393</v>
      </c>
      <c r="G557" s="679"/>
      <c r="H557" s="678"/>
      <c r="I557" s="679">
        <v>314042</v>
      </c>
      <c r="J557" s="678">
        <v>321248</v>
      </c>
      <c r="K557" s="679">
        <v>79447</v>
      </c>
      <c r="L557" s="678">
        <v>77602</v>
      </c>
      <c r="M557" s="679">
        <v>342564</v>
      </c>
      <c r="N557" s="678">
        <v>337591</v>
      </c>
      <c r="O557" s="694">
        <f t="shared" si="208"/>
        <v>736053</v>
      </c>
      <c r="P557" s="695">
        <f t="shared" si="219"/>
        <v>24535.1</v>
      </c>
      <c r="Q557" s="696">
        <f t="shared" si="209"/>
        <v>736441</v>
      </c>
      <c r="R557" s="697">
        <f t="shared" si="220"/>
        <v>24548.033333333333</v>
      </c>
      <c r="S557" s="679">
        <v>0</v>
      </c>
      <c r="T557" s="678">
        <v>0</v>
      </c>
      <c r="U557" s="694">
        <f t="shared" si="210"/>
        <v>736053</v>
      </c>
      <c r="V557" s="698">
        <f t="shared" si="211"/>
        <v>736441</v>
      </c>
      <c r="W557" s="679"/>
      <c r="X557" s="678"/>
      <c r="Y557" s="679"/>
      <c r="Z557" s="678"/>
      <c r="AA557" s="679"/>
      <c r="AB557" s="678"/>
      <c r="AC557" s="679"/>
      <c r="AD557" s="678"/>
      <c r="AE557" s="694">
        <f t="shared" si="212"/>
        <v>0</v>
      </c>
      <c r="AF557" s="695">
        <f t="shared" si="221"/>
        <v>0</v>
      </c>
      <c r="AG557" s="696">
        <f t="shared" si="213"/>
        <v>0</v>
      </c>
      <c r="AH557" s="697">
        <f t="shared" si="222"/>
        <v>0</v>
      </c>
      <c r="AI557" s="679"/>
      <c r="AJ557" s="678"/>
      <c r="AK557" s="694">
        <f t="shared" si="214"/>
        <v>0</v>
      </c>
      <c r="AL557" s="698">
        <f t="shared" si="215"/>
        <v>0</v>
      </c>
      <c r="AM557" s="679"/>
      <c r="AN557" s="678"/>
      <c r="AO557" s="679">
        <v>38702</v>
      </c>
      <c r="AP557" s="678">
        <v>40738</v>
      </c>
      <c r="AQ557" s="679">
        <v>22566</v>
      </c>
      <c r="AR557" s="678">
        <v>21785</v>
      </c>
      <c r="AS557" s="679">
        <v>40571</v>
      </c>
      <c r="AT557" s="678">
        <v>43442</v>
      </c>
      <c r="AU557" s="699">
        <f t="shared" si="223"/>
        <v>101839</v>
      </c>
      <c r="AV557" s="695">
        <f t="shared" si="218"/>
        <v>4243.291666666667</v>
      </c>
      <c r="AW557" s="696">
        <f t="shared" si="224"/>
        <v>105965</v>
      </c>
      <c r="AX557" s="697">
        <f t="shared" si="225"/>
        <v>4415.208333333333</v>
      </c>
      <c r="AY557" s="700">
        <f t="shared" si="216"/>
        <v>28778.391666666666</v>
      </c>
      <c r="AZ557" s="697">
        <f t="shared" si="217"/>
        <v>28963.241666666665</v>
      </c>
      <c r="BA557" s="680"/>
    </row>
    <row r="558" spans="1:53">
      <c r="A558" s="517" t="s">
        <v>279</v>
      </c>
      <c r="B558" s="290" t="s">
        <v>285</v>
      </c>
      <c r="C558" s="297">
        <v>228769</v>
      </c>
      <c r="D558" s="170">
        <v>1</v>
      </c>
      <c r="E558" s="148" t="s">
        <v>393</v>
      </c>
      <c r="F558" s="549" t="s">
        <v>393</v>
      </c>
      <c r="G558" s="679"/>
      <c r="H558" s="678"/>
      <c r="I558" s="679">
        <v>205112</v>
      </c>
      <c r="J558" s="678">
        <v>207920</v>
      </c>
      <c r="K558" s="679">
        <v>45710</v>
      </c>
      <c r="L558" s="678">
        <v>48771</v>
      </c>
      <c r="M558" s="679">
        <v>214709</v>
      </c>
      <c r="N558" s="678">
        <v>235472</v>
      </c>
      <c r="O558" s="694">
        <f t="shared" si="208"/>
        <v>465531</v>
      </c>
      <c r="P558" s="695">
        <f t="shared" si="219"/>
        <v>15517.7</v>
      </c>
      <c r="Q558" s="696">
        <f t="shared" si="209"/>
        <v>492163</v>
      </c>
      <c r="R558" s="697">
        <f t="shared" si="220"/>
        <v>16405.433333333334</v>
      </c>
      <c r="S558" s="679">
        <v>453</v>
      </c>
      <c r="T558" s="678">
        <v>1023</v>
      </c>
      <c r="U558" s="694">
        <f t="shared" si="210"/>
        <v>465531</v>
      </c>
      <c r="V558" s="698">
        <f t="shared" si="211"/>
        <v>492163</v>
      </c>
      <c r="W558" s="679"/>
      <c r="X558" s="678"/>
      <c r="Y558" s="679"/>
      <c r="Z558" s="678"/>
      <c r="AA558" s="679"/>
      <c r="AB558" s="678"/>
      <c r="AC558" s="679"/>
      <c r="AD558" s="678"/>
      <c r="AE558" s="694">
        <f t="shared" si="212"/>
        <v>0</v>
      </c>
      <c r="AF558" s="695">
        <f t="shared" si="221"/>
        <v>0</v>
      </c>
      <c r="AG558" s="696">
        <f t="shared" si="213"/>
        <v>0</v>
      </c>
      <c r="AH558" s="697">
        <f t="shared" si="222"/>
        <v>0</v>
      </c>
      <c r="AI558" s="679"/>
      <c r="AJ558" s="678"/>
      <c r="AK558" s="694">
        <f t="shared" si="214"/>
        <v>0</v>
      </c>
      <c r="AL558" s="698">
        <f t="shared" si="215"/>
        <v>0</v>
      </c>
      <c r="AM558" s="679"/>
      <c r="AN558" s="678"/>
      <c r="AO558" s="679">
        <v>38545</v>
      </c>
      <c r="AP558" s="678">
        <v>38793</v>
      </c>
      <c r="AQ558" s="679">
        <v>18796</v>
      </c>
      <c r="AR558" s="678">
        <v>18651</v>
      </c>
      <c r="AS558" s="679">
        <v>39839</v>
      </c>
      <c r="AT558" s="678">
        <v>44392</v>
      </c>
      <c r="AU558" s="699">
        <f t="shared" si="223"/>
        <v>97180</v>
      </c>
      <c r="AV558" s="695">
        <f t="shared" si="218"/>
        <v>4049.1666666666665</v>
      </c>
      <c r="AW558" s="696">
        <f t="shared" si="224"/>
        <v>101836</v>
      </c>
      <c r="AX558" s="697">
        <f t="shared" si="225"/>
        <v>4243.166666666667</v>
      </c>
      <c r="AY558" s="700">
        <f t="shared" si="216"/>
        <v>19566.866666666669</v>
      </c>
      <c r="AZ558" s="697">
        <f t="shared" si="217"/>
        <v>20648.600000000002</v>
      </c>
      <c r="BA558" s="680"/>
    </row>
    <row r="559" spans="1:53">
      <c r="A559" s="517" t="s">
        <v>279</v>
      </c>
      <c r="B559" s="290" t="s">
        <v>283</v>
      </c>
      <c r="C559" s="297">
        <v>228778</v>
      </c>
      <c r="D559" s="153">
        <v>1</v>
      </c>
      <c r="E559" s="148" t="s">
        <v>393</v>
      </c>
      <c r="F559" s="549" t="s">
        <v>393</v>
      </c>
      <c r="G559" s="679"/>
      <c r="H559" s="678"/>
      <c r="I559" s="679">
        <v>465690</v>
      </c>
      <c r="J559" s="678">
        <v>463306</v>
      </c>
      <c r="K559" s="679">
        <v>61765</v>
      </c>
      <c r="L559" s="678">
        <v>59549</v>
      </c>
      <c r="M559" s="679">
        <v>496145</v>
      </c>
      <c r="N559" s="678">
        <v>506051</v>
      </c>
      <c r="O559" s="694">
        <f t="shared" si="208"/>
        <v>1023600</v>
      </c>
      <c r="P559" s="695">
        <f t="shared" si="219"/>
        <v>34120</v>
      </c>
      <c r="Q559" s="696">
        <f t="shared" si="209"/>
        <v>1028906</v>
      </c>
      <c r="R559" s="697">
        <f t="shared" si="220"/>
        <v>34296.866666666669</v>
      </c>
      <c r="S559" s="679">
        <v>0</v>
      </c>
      <c r="T559" s="678">
        <v>0</v>
      </c>
      <c r="U559" s="694">
        <f t="shared" si="210"/>
        <v>1023600</v>
      </c>
      <c r="V559" s="698">
        <f t="shared" si="211"/>
        <v>1028906</v>
      </c>
      <c r="W559" s="679"/>
      <c r="X559" s="678"/>
      <c r="Y559" s="679"/>
      <c r="Z559" s="678"/>
      <c r="AA559" s="679"/>
      <c r="AB559" s="678"/>
      <c r="AC559" s="679"/>
      <c r="AD559" s="678"/>
      <c r="AE559" s="694">
        <f t="shared" si="212"/>
        <v>0</v>
      </c>
      <c r="AF559" s="695">
        <f t="shared" si="221"/>
        <v>0</v>
      </c>
      <c r="AG559" s="696">
        <f t="shared" si="213"/>
        <v>0</v>
      </c>
      <c r="AH559" s="697">
        <f t="shared" si="222"/>
        <v>0</v>
      </c>
      <c r="AI559" s="679"/>
      <c r="AJ559" s="678"/>
      <c r="AK559" s="694">
        <f t="shared" si="214"/>
        <v>0</v>
      </c>
      <c r="AL559" s="698">
        <f t="shared" si="215"/>
        <v>0</v>
      </c>
      <c r="AM559" s="679"/>
      <c r="AN559" s="678"/>
      <c r="AO559" s="679">
        <v>117247</v>
      </c>
      <c r="AP559" s="678">
        <v>117437</v>
      </c>
      <c r="AQ559" s="679">
        <v>24552</v>
      </c>
      <c r="AR559" s="678">
        <v>25096</v>
      </c>
      <c r="AS559" s="679">
        <v>120238</v>
      </c>
      <c r="AT559" s="678">
        <v>122947</v>
      </c>
      <c r="AU559" s="699">
        <f t="shared" si="223"/>
        <v>262037</v>
      </c>
      <c r="AV559" s="695">
        <f t="shared" si="218"/>
        <v>10918.208333333334</v>
      </c>
      <c r="AW559" s="696">
        <f t="shared" si="224"/>
        <v>265480</v>
      </c>
      <c r="AX559" s="697">
        <f t="shared" si="225"/>
        <v>11061.666666666666</v>
      </c>
      <c r="AY559" s="700">
        <f t="shared" si="216"/>
        <v>45038.208333333336</v>
      </c>
      <c r="AZ559" s="697">
        <f t="shared" si="217"/>
        <v>45358.533333333333</v>
      </c>
      <c r="BA559" s="680"/>
    </row>
    <row r="560" spans="1:53">
      <c r="A560" s="517" t="s">
        <v>279</v>
      </c>
      <c r="B560" s="290" t="s">
        <v>286</v>
      </c>
      <c r="C560" s="297">
        <v>228787</v>
      </c>
      <c r="D560" s="153">
        <v>1</v>
      </c>
      <c r="E560" s="148" t="s">
        <v>393</v>
      </c>
      <c r="F560" s="549" t="s">
        <v>393</v>
      </c>
      <c r="G560" s="679"/>
      <c r="H560" s="678"/>
      <c r="I560" s="679">
        <v>105552</v>
      </c>
      <c r="J560" s="678">
        <v>109481</v>
      </c>
      <c r="K560" s="679">
        <v>21315</v>
      </c>
      <c r="L560" s="678">
        <v>21595</v>
      </c>
      <c r="M560" s="679">
        <v>116180</v>
      </c>
      <c r="N560" s="678">
        <v>121633</v>
      </c>
      <c r="O560" s="694">
        <f t="shared" si="208"/>
        <v>243047</v>
      </c>
      <c r="P560" s="695">
        <f t="shared" si="219"/>
        <v>8101.5666666666666</v>
      </c>
      <c r="Q560" s="696">
        <f t="shared" si="209"/>
        <v>252709</v>
      </c>
      <c r="R560" s="697">
        <f t="shared" si="220"/>
        <v>8423.6333333333332</v>
      </c>
      <c r="S560" s="679">
        <v>0</v>
      </c>
      <c r="T560" s="678">
        <v>0</v>
      </c>
      <c r="U560" s="694">
        <f t="shared" si="210"/>
        <v>243047</v>
      </c>
      <c r="V560" s="698">
        <f t="shared" si="211"/>
        <v>252709</v>
      </c>
      <c r="W560" s="679"/>
      <c r="X560" s="678"/>
      <c r="Y560" s="679"/>
      <c r="Z560" s="678"/>
      <c r="AA560" s="679"/>
      <c r="AB560" s="678"/>
      <c r="AC560" s="679"/>
      <c r="AD560" s="678"/>
      <c r="AE560" s="694">
        <f t="shared" si="212"/>
        <v>0</v>
      </c>
      <c r="AF560" s="695">
        <f t="shared" si="221"/>
        <v>0</v>
      </c>
      <c r="AG560" s="696">
        <f t="shared" si="213"/>
        <v>0</v>
      </c>
      <c r="AH560" s="697">
        <f t="shared" si="222"/>
        <v>0</v>
      </c>
      <c r="AI560" s="679"/>
      <c r="AJ560" s="678"/>
      <c r="AK560" s="694">
        <f t="shared" si="214"/>
        <v>0</v>
      </c>
      <c r="AL560" s="698">
        <f t="shared" si="215"/>
        <v>0</v>
      </c>
      <c r="AM560" s="679"/>
      <c r="AN560" s="678"/>
      <c r="AO560" s="679">
        <v>36150</v>
      </c>
      <c r="AP560" s="678">
        <v>39652</v>
      </c>
      <c r="AQ560" s="679">
        <v>20520</v>
      </c>
      <c r="AR560" s="678">
        <v>16206</v>
      </c>
      <c r="AS560" s="679">
        <v>38504</v>
      </c>
      <c r="AT560" s="678">
        <v>43521</v>
      </c>
      <c r="AU560" s="699">
        <f t="shared" si="223"/>
        <v>95174</v>
      </c>
      <c r="AV560" s="695">
        <f t="shared" si="218"/>
        <v>3965.5833333333335</v>
      </c>
      <c r="AW560" s="696">
        <f t="shared" si="224"/>
        <v>99379</v>
      </c>
      <c r="AX560" s="697">
        <f t="shared" si="225"/>
        <v>4140.791666666667</v>
      </c>
      <c r="AY560" s="700">
        <f t="shared" si="216"/>
        <v>12067.15</v>
      </c>
      <c r="AZ560" s="697">
        <f t="shared" si="217"/>
        <v>12564.424999999999</v>
      </c>
      <c r="BA560" s="680"/>
    </row>
    <row r="561" spans="1:53">
      <c r="A561" s="517" t="s">
        <v>279</v>
      </c>
      <c r="B561" s="290" t="s">
        <v>284</v>
      </c>
      <c r="C561" s="297">
        <v>229179</v>
      </c>
      <c r="D561" s="153">
        <v>2</v>
      </c>
      <c r="E561" s="148" t="s">
        <v>393</v>
      </c>
      <c r="F561" s="549" t="s">
        <v>393</v>
      </c>
      <c r="G561" s="679"/>
      <c r="H561" s="678"/>
      <c r="I561" s="679">
        <v>79120</v>
      </c>
      <c r="J561" s="678">
        <v>82032</v>
      </c>
      <c r="K561" s="679">
        <v>22449</v>
      </c>
      <c r="L561" s="678">
        <v>23478</v>
      </c>
      <c r="M561" s="679">
        <v>87711</v>
      </c>
      <c r="N561" s="678">
        <v>91072</v>
      </c>
      <c r="O561" s="694">
        <f t="shared" si="208"/>
        <v>189280</v>
      </c>
      <c r="P561" s="695">
        <f t="shared" si="219"/>
        <v>6309.333333333333</v>
      </c>
      <c r="Q561" s="696">
        <f t="shared" si="209"/>
        <v>196582</v>
      </c>
      <c r="R561" s="697">
        <f t="shared" si="220"/>
        <v>6552.7333333333336</v>
      </c>
      <c r="S561" s="679">
        <v>0</v>
      </c>
      <c r="T561" s="678">
        <v>0</v>
      </c>
      <c r="U561" s="694">
        <f t="shared" si="210"/>
        <v>189280</v>
      </c>
      <c r="V561" s="698">
        <f t="shared" si="211"/>
        <v>196582</v>
      </c>
      <c r="W561" s="679"/>
      <c r="X561" s="678"/>
      <c r="Y561" s="679"/>
      <c r="Z561" s="678"/>
      <c r="AA561" s="679"/>
      <c r="AB561" s="678"/>
      <c r="AC561" s="679"/>
      <c r="AD561" s="678"/>
      <c r="AE561" s="694">
        <f t="shared" si="212"/>
        <v>0</v>
      </c>
      <c r="AF561" s="695">
        <f t="shared" si="221"/>
        <v>0</v>
      </c>
      <c r="AG561" s="696">
        <f t="shared" si="213"/>
        <v>0</v>
      </c>
      <c r="AH561" s="697">
        <f t="shared" si="222"/>
        <v>0</v>
      </c>
      <c r="AI561" s="679"/>
      <c r="AJ561" s="678"/>
      <c r="AK561" s="694">
        <f t="shared" si="214"/>
        <v>0</v>
      </c>
      <c r="AL561" s="698">
        <f t="shared" si="215"/>
        <v>0</v>
      </c>
      <c r="AM561" s="679"/>
      <c r="AN561" s="678"/>
      <c r="AO561" s="679">
        <v>32800</v>
      </c>
      <c r="AP561" s="678">
        <v>31920</v>
      </c>
      <c r="AQ561" s="679">
        <v>22240</v>
      </c>
      <c r="AR561" s="678">
        <v>23624</v>
      </c>
      <c r="AS561" s="679">
        <v>32386</v>
      </c>
      <c r="AT561" s="678">
        <v>36359</v>
      </c>
      <c r="AU561" s="699">
        <f t="shared" si="223"/>
        <v>87426</v>
      </c>
      <c r="AV561" s="695">
        <f t="shared" si="218"/>
        <v>3642.75</v>
      </c>
      <c r="AW561" s="696">
        <f t="shared" si="224"/>
        <v>91903</v>
      </c>
      <c r="AX561" s="697">
        <f t="shared" si="225"/>
        <v>3829.2916666666665</v>
      </c>
      <c r="AY561" s="700">
        <f t="shared" si="216"/>
        <v>9952.0833333333321</v>
      </c>
      <c r="AZ561" s="697">
        <f t="shared" si="217"/>
        <v>10382.025</v>
      </c>
      <c r="BA561" s="680"/>
    </row>
    <row r="562" spans="1:53">
      <c r="A562" s="517" t="s">
        <v>279</v>
      </c>
      <c r="B562" s="290" t="s">
        <v>294</v>
      </c>
      <c r="C562" s="297">
        <v>228796</v>
      </c>
      <c r="D562" s="170">
        <v>2</v>
      </c>
      <c r="E562" s="148" t="s">
        <v>393</v>
      </c>
      <c r="F562" s="549" t="s">
        <v>393</v>
      </c>
      <c r="G562" s="679"/>
      <c r="H562" s="678"/>
      <c r="I562" s="679">
        <v>174503</v>
      </c>
      <c r="J562" s="678">
        <v>177967</v>
      </c>
      <c r="K562" s="679">
        <v>44261</v>
      </c>
      <c r="L562" s="678">
        <v>44439</v>
      </c>
      <c r="M562" s="679">
        <v>188224</v>
      </c>
      <c r="N562" s="678">
        <v>191879</v>
      </c>
      <c r="O562" s="694">
        <f t="shared" ref="O562:O625" si="226">SUM(G562,I562,K562,M562)</f>
        <v>406988</v>
      </c>
      <c r="P562" s="695">
        <f t="shared" si="219"/>
        <v>13566.266666666666</v>
      </c>
      <c r="Q562" s="696">
        <f t="shared" ref="Q562:Q625" si="227">SUM(H562,J562,L562,N562)</f>
        <v>414285</v>
      </c>
      <c r="R562" s="697">
        <f t="shared" si="220"/>
        <v>13809.5</v>
      </c>
      <c r="S562" s="679">
        <v>977</v>
      </c>
      <c r="T562" s="678">
        <v>692</v>
      </c>
      <c r="U562" s="694">
        <f t="shared" ref="U562:U625" si="228">IF(OR(ISBLANK(S562),(S562="—")),0,O562)</f>
        <v>406988</v>
      </c>
      <c r="V562" s="698">
        <f t="shared" ref="V562:V625" si="229">IF(OR(ISBLANK(T562),(T562="—")),0,Q562)</f>
        <v>414285</v>
      </c>
      <c r="W562" s="679"/>
      <c r="X562" s="678"/>
      <c r="Y562" s="679"/>
      <c r="Z562" s="678"/>
      <c r="AA562" s="679"/>
      <c r="AB562" s="678"/>
      <c r="AC562" s="679"/>
      <c r="AD562" s="678"/>
      <c r="AE562" s="694">
        <f t="shared" ref="AE562:AE625" si="230">SUM(W562,Y562,AA562,AC562)</f>
        <v>0</v>
      </c>
      <c r="AF562" s="695">
        <f t="shared" si="221"/>
        <v>0</v>
      </c>
      <c r="AG562" s="696">
        <f t="shared" ref="AG562:AG625" si="231">SUM(X562,Z562,AB562,AD562)</f>
        <v>0</v>
      </c>
      <c r="AH562" s="697">
        <f t="shared" si="222"/>
        <v>0</v>
      </c>
      <c r="AI562" s="679"/>
      <c r="AJ562" s="678"/>
      <c r="AK562" s="694">
        <f t="shared" ref="AK562:AK625" si="232">IF(OR(ISBLANK(AI562),(AI562="—")),0,AE562)</f>
        <v>0</v>
      </c>
      <c r="AL562" s="698">
        <f t="shared" ref="AL562:AL625" si="233">IF(OR(ISBLANK(AJ562),(AJ562="—")),0,AG562)</f>
        <v>0</v>
      </c>
      <c r="AM562" s="679"/>
      <c r="AN562" s="678"/>
      <c r="AO562" s="679">
        <v>19890</v>
      </c>
      <c r="AP562" s="678">
        <v>22710</v>
      </c>
      <c r="AQ562" s="679">
        <v>9775</v>
      </c>
      <c r="AR562" s="678">
        <v>10175</v>
      </c>
      <c r="AS562" s="679">
        <v>20718</v>
      </c>
      <c r="AT562" s="678">
        <v>23006</v>
      </c>
      <c r="AU562" s="699">
        <f t="shared" si="223"/>
        <v>50383</v>
      </c>
      <c r="AV562" s="695">
        <f t="shared" si="218"/>
        <v>2099.2916666666665</v>
      </c>
      <c r="AW562" s="696">
        <f t="shared" si="224"/>
        <v>55891</v>
      </c>
      <c r="AX562" s="697">
        <f t="shared" si="225"/>
        <v>2328.7916666666665</v>
      </c>
      <c r="AY562" s="700">
        <f t="shared" ref="AY562:AY625" si="234">SUM(P562,AF562,AV562)</f>
        <v>15665.558333333332</v>
      </c>
      <c r="AZ562" s="697">
        <f t="shared" ref="AZ562:AZ625" si="235">SUM(R562,AH562,AX562)</f>
        <v>16138.291666666666</v>
      </c>
      <c r="BA562" s="680"/>
    </row>
    <row r="563" spans="1:53">
      <c r="A563" s="517" t="s">
        <v>279</v>
      </c>
      <c r="B563" s="518" t="s">
        <v>295</v>
      </c>
      <c r="C563" s="519">
        <v>229027</v>
      </c>
      <c r="D563" s="476">
        <v>2</v>
      </c>
      <c r="E563" s="148" t="s">
        <v>393</v>
      </c>
      <c r="F563" s="549" t="s">
        <v>393</v>
      </c>
      <c r="G563" s="679"/>
      <c r="H563" s="678"/>
      <c r="I563" s="679">
        <v>262253</v>
      </c>
      <c r="J563" s="678">
        <v>263314</v>
      </c>
      <c r="K563" s="679">
        <v>53739</v>
      </c>
      <c r="L563" s="678">
        <v>52055</v>
      </c>
      <c r="M563" s="679">
        <v>290973</v>
      </c>
      <c r="N563" s="678">
        <v>295613</v>
      </c>
      <c r="O563" s="694">
        <f t="shared" si="226"/>
        <v>606965</v>
      </c>
      <c r="P563" s="695">
        <f t="shared" si="219"/>
        <v>20232.166666666668</v>
      </c>
      <c r="Q563" s="696">
        <f t="shared" si="227"/>
        <v>610982</v>
      </c>
      <c r="R563" s="697">
        <f t="shared" si="220"/>
        <v>20366.066666666666</v>
      </c>
      <c r="S563" s="679">
        <v>4911</v>
      </c>
      <c r="T563" s="678">
        <v>4740</v>
      </c>
      <c r="U563" s="694">
        <f t="shared" si="228"/>
        <v>606965</v>
      </c>
      <c r="V563" s="698">
        <f t="shared" si="229"/>
        <v>610982</v>
      </c>
      <c r="W563" s="679"/>
      <c r="X563" s="678"/>
      <c r="Y563" s="679"/>
      <c r="Z563" s="678"/>
      <c r="AA563" s="679"/>
      <c r="AB563" s="678"/>
      <c r="AC563" s="679"/>
      <c r="AD563" s="678"/>
      <c r="AE563" s="694">
        <f t="shared" si="230"/>
        <v>0</v>
      </c>
      <c r="AF563" s="695">
        <f t="shared" si="221"/>
        <v>0</v>
      </c>
      <c r="AG563" s="696">
        <f t="shared" si="231"/>
        <v>0</v>
      </c>
      <c r="AH563" s="697">
        <f t="shared" si="222"/>
        <v>0</v>
      </c>
      <c r="AI563" s="679"/>
      <c r="AJ563" s="678"/>
      <c r="AK563" s="694">
        <f t="shared" si="232"/>
        <v>0</v>
      </c>
      <c r="AL563" s="698">
        <f t="shared" si="233"/>
        <v>0</v>
      </c>
      <c r="AM563" s="679"/>
      <c r="AN563" s="678"/>
      <c r="AO563" s="679">
        <v>21678</v>
      </c>
      <c r="AP563" s="678">
        <v>21970</v>
      </c>
      <c r="AQ563" s="679">
        <v>8291</v>
      </c>
      <c r="AR563" s="678">
        <v>8763</v>
      </c>
      <c r="AS563" s="679">
        <v>22839</v>
      </c>
      <c r="AT563" s="678">
        <v>24254</v>
      </c>
      <c r="AU563" s="699">
        <f t="shared" si="223"/>
        <v>52808</v>
      </c>
      <c r="AV563" s="695">
        <f t="shared" si="218"/>
        <v>2200.3333333333335</v>
      </c>
      <c r="AW563" s="696">
        <f t="shared" si="224"/>
        <v>54987</v>
      </c>
      <c r="AX563" s="697">
        <f t="shared" si="225"/>
        <v>2291.125</v>
      </c>
      <c r="AY563" s="700">
        <f t="shared" si="234"/>
        <v>22432.5</v>
      </c>
      <c r="AZ563" s="697">
        <f t="shared" si="235"/>
        <v>22657.191666666666</v>
      </c>
      <c r="BA563" s="680"/>
    </row>
    <row r="564" spans="1:53">
      <c r="A564" s="517" t="s">
        <v>279</v>
      </c>
      <c r="B564" s="290" t="s">
        <v>287</v>
      </c>
      <c r="C564" s="297">
        <v>222831</v>
      </c>
      <c r="D564" s="153">
        <v>3</v>
      </c>
      <c r="E564" s="148" t="s">
        <v>393</v>
      </c>
      <c r="F564" s="549" t="s">
        <v>393</v>
      </c>
      <c r="G564" s="679"/>
      <c r="H564" s="678"/>
      <c r="I564" s="679">
        <v>63873</v>
      </c>
      <c r="J564" s="678">
        <v>61856</v>
      </c>
      <c r="K564" s="679">
        <v>11619</v>
      </c>
      <c r="L564" s="678">
        <v>11562</v>
      </c>
      <c r="M564" s="679">
        <v>70945</v>
      </c>
      <c r="N564" s="678">
        <v>72437</v>
      </c>
      <c r="O564" s="694">
        <f t="shared" si="226"/>
        <v>146437</v>
      </c>
      <c r="P564" s="695">
        <f t="shared" si="219"/>
        <v>4881.2333333333336</v>
      </c>
      <c r="Q564" s="696">
        <f t="shared" si="227"/>
        <v>145855</v>
      </c>
      <c r="R564" s="697">
        <f t="shared" si="220"/>
        <v>4861.833333333333</v>
      </c>
      <c r="S564" s="679">
        <v>393</v>
      </c>
      <c r="T564" s="678">
        <v>225</v>
      </c>
      <c r="U564" s="694">
        <f t="shared" si="228"/>
        <v>146437</v>
      </c>
      <c r="V564" s="698">
        <f t="shared" si="229"/>
        <v>145855</v>
      </c>
      <c r="W564" s="679"/>
      <c r="X564" s="678"/>
      <c r="Y564" s="679"/>
      <c r="Z564" s="678"/>
      <c r="AA564" s="679"/>
      <c r="AB564" s="678"/>
      <c r="AC564" s="679"/>
      <c r="AD564" s="678"/>
      <c r="AE564" s="694">
        <f t="shared" si="230"/>
        <v>0</v>
      </c>
      <c r="AF564" s="695">
        <f t="shared" si="221"/>
        <v>0</v>
      </c>
      <c r="AG564" s="696">
        <f t="shared" si="231"/>
        <v>0</v>
      </c>
      <c r="AH564" s="697">
        <f t="shared" si="222"/>
        <v>0</v>
      </c>
      <c r="AI564" s="679"/>
      <c r="AJ564" s="678"/>
      <c r="AK564" s="694">
        <f t="shared" si="232"/>
        <v>0</v>
      </c>
      <c r="AL564" s="698">
        <f t="shared" si="233"/>
        <v>0</v>
      </c>
      <c r="AM564" s="679"/>
      <c r="AN564" s="678"/>
      <c r="AO564" s="679">
        <v>3582</v>
      </c>
      <c r="AP564" s="678">
        <v>3161</v>
      </c>
      <c r="AQ564" s="679">
        <v>2654</v>
      </c>
      <c r="AR564" s="678">
        <v>3036</v>
      </c>
      <c r="AS564" s="679">
        <v>3327</v>
      </c>
      <c r="AT564" s="678">
        <v>3750</v>
      </c>
      <c r="AU564" s="699">
        <f t="shared" si="223"/>
        <v>9563</v>
      </c>
      <c r="AV564" s="695">
        <f t="shared" si="218"/>
        <v>398.45833333333331</v>
      </c>
      <c r="AW564" s="696">
        <f t="shared" si="224"/>
        <v>9947</v>
      </c>
      <c r="AX564" s="697">
        <f t="shared" si="225"/>
        <v>414.45833333333331</v>
      </c>
      <c r="AY564" s="700">
        <f t="shared" si="234"/>
        <v>5279.6916666666666</v>
      </c>
      <c r="AZ564" s="697">
        <f t="shared" si="235"/>
        <v>5276.2916666666661</v>
      </c>
      <c r="BA564" s="680"/>
    </row>
    <row r="565" spans="1:53">
      <c r="A565" s="517" t="s">
        <v>279</v>
      </c>
      <c r="B565" s="290" t="s">
        <v>288</v>
      </c>
      <c r="C565" s="297">
        <v>226091</v>
      </c>
      <c r="D565" s="153">
        <v>3</v>
      </c>
      <c r="E565" s="148" t="s">
        <v>393</v>
      </c>
      <c r="F565" s="549" t="s">
        <v>393</v>
      </c>
      <c r="G565" s="679"/>
      <c r="H565" s="678"/>
      <c r="I565" s="679">
        <v>90740</v>
      </c>
      <c r="J565" s="678">
        <v>95657</v>
      </c>
      <c r="K565" s="679">
        <v>23487</v>
      </c>
      <c r="L565" s="678">
        <v>25213</v>
      </c>
      <c r="M565" s="679">
        <v>100092</v>
      </c>
      <c r="N565" s="678">
        <v>107594</v>
      </c>
      <c r="O565" s="694">
        <f t="shared" si="226"/>
        <v>214319</v>
      </c>
      <c r="P565" s="695">
        <f t="shared" si="219"/>
        <v>7143.9666666666662</v>
      </c>
      <c r="Q565" s="696">
        <f t="shared" si="227"/>
        <v>228464</v>
      </c>
      <c r="R565" s="697">
        <f t="shared" si="220"/>
        <v>7615.4666666666662</v>
      </c>
      <c r="S565" s="679">
        <v>1609</v>
      </c>
      <c r="T565" s="678">
        <v>2303</v>
      </c>
      <c r="U565" s="694">
        <f t="shared" si="228"/>
        <v>214319</v>
      </c>
      <c r="V565" s="698">
        <f t="shared" si="229"/>
        <v>228464</v>
      </c>
      <c r="W565" s="679"/>
      <c r="X565" s="678"/>
      <c r="Y565" s="679"/>
      <c r="Z565" s="678"/>
      <c r="AA565" s="679"/>
      <c r="AB565" s="678"/>
      <c r="AC565" s="679"/>
      <c r="AD565" s="678"/>
      <c r="AE565" s="694">
        <f t="shared" si="230"/>
        <v>0</v>
      </c>
      <c r="AF565" s="695">
        <f t="shared" si="221"/>
        <v>0</v>
      </c>
      <c r="AG565" s="696">
        <f t="shared" si="231"/>
        <v>0</v>
      </c>
      <c r="AH565" s="697">
        <f t="shared" si="222"/>
        <v>0</v>
      </c>
      <c r="AI565" s="679"/>
      <c r="AJ565" s="678"/>
      <c r="AK565" s="694">
        <f t="shared" si="232"/>
        <v>0</v>
      </c>
      <c r="AL565" s="698">
        <f t="shared" si="233"/>
        <v>0</v>
      </c>
      <c r="AM565" s="679"/>
      <c r="AN565" s="678"/>
      <c r="AO565" s="714">
        <v>15575</v>
      </c>
      <c r="AP565" s="715">
        <v>30576</v>
      </c>
      <c r="AQ565" s="679">
        <v>35533</v>
      </c>
      <c r="AR565" s="678">
        <v>51736</v>
      </c>
      <c r="AS565" s="679">
        <v>27244</v>
      </c>
      <c r="AT565" s="678">
        <v>19840</v>
      </c>
      <c r="AU565" s="699">
        <f t="shared" si="223"/>
        <v>78352</v>
      </c>
      <c r="AV565" s="695">
        <f t="shared" si="218"/>
        <v>3264.6666666666665</v>
      </c>
      <c r="AW565" s="696">
        <f t="shared" si="224"/>
        <v>102152</v>
      </c>
      <c r="AX565" s="697">
        <f t="shared" si="225"/>
        <v>4256.333333333333</v>
      </c>
      <c r="AY565" s="700">
        <f t="shared" si="234"/>
        <v>10408.633333333333</v>
      </c>
      <c r="AZ565" s="697">
        <f t="shared" si="235"/>
        <v>11871.8</v>
      </c>
      <c r="BA565" s="680"/>
    </row>
    <row r="566" spans="1:53">
      <c r="A566" s="517" t="s">
        <v>279</v>
      </c>
      <c r="B566" s="290" t="s">
        <v>850</v>
      </c>
      <c r="C566" s="297">
        <v>226833</v>
      </c>
      <c r="D566" s="153">
        <v>3</v>
      </c>
      <c r="E566" s="148" t="s">
        <v>393</v>
      </c>
      <c r="F566" s="549" t="s">
        <v>393</v>
      </c>
      <c r="G566" s="679"/>
      <c r="H566" s="678"/>
      <c r="I566" s="679">
        <v>58291</v>
      </c>
      <c r="J566" s="678">
        <v>59014</v>
      </c>
      <c r="K566" s="679">
        <v>14393</v>
      </c>
      <c r="L566" s="678">
        <v>15610</v>
      </c>
      <c r="M566" s="679">
        <v>61415</v>
      </c>
      <c r="N566" s="678">
        <v>64423</v>
      </c>
      <c r="O566" s="694">
        <f t="shared" si="226"/>
        <v>134099</v>
      </c>
      <c r="P566" s="695">
        <f t="shared" si="219"/>
        <v>4469.9666666666662</v>
      </c>
      <c r="Q566" s="696">
        <f t="shared" si="227"/>
        <v>139047</v>
      </c>
      <c r="R566" s="697">
        <f t="shared" si="220"/>
        <v>4634.8999999999996</v>
      </c>
      <c r="S566" s="679">
        <v>128</v>
      </c>
      <c r="T566" s="678">
        <v>248</v>
      </c>
      <c r="U566" s="694">
        <f t="shared" si="228"/>
        <v>134099</v>
      </c>
      <c r="V566" s="698">
        <f t="shared" si="229"/>
        <v>139047</v>
      </c>
      <c r="W566" s="679"/>
      <c r="X566" s="678"/>
      <c r="Y566" s="679"/>
      <c r="Z566" s="678"/>
      <c r="AA566" s="679"/>
      <c r="AB566" s="678"/>
      <c r="AC566" s="679"/>
      <c r="AD566" s="678"/>
      <c r="AE566" s="694">
        <f t="shared" si="230"/>
        <v>0</v>
      </c>
      <c r="AF566" s="695">
        <f t="shared" si="221"/>
        <v>0</v>
      </c>
      <c r="AG566" s="696">
        <f t="shared" si="231"/>
        <v>0</v>
      </c>
      <c r="AH566" s="697">
        <f t="shared" si="222"/>
        <v>0</v>
      </c>
      <c r="AI566" s="679"/>
      <c r="AJ566" s="678"/>
      <c r="AK566" s="694">
        <f t="shared" si="232"/>
        <v>0</v>
      </c>
      <c r="AL566" s="698">
        <f t="shared" si="233"/>
        <v>0</v>
      </c>
      <c r="AM566" s="679"/>
      <c r="AN566" s="678"/>
      <c r="AO566" s="679">
        <v>3267</v>
      </c>
      <c r="AP566" s="678">
        <v>3212</v>
      </c>
      <c r="AQ566" s="679">
        <v>2317</v>
      </c>
      <c r="AR566" s="678">
        <v>2130</v>
      </c>
      <c r="AS566" s="679">
        <v>3395</v>
      </c>
      <c r="AT566" s="678">
        <v>3325</v>
      </c>
      <c r="AU566" s="699">
        <f t="shared" si="223"/>
        <v>8979</v>
      </c>
      <c r="AV566" s="695">
        <f t="shared" si="218"/>
        <v>374.125</v>
      </c>
      <c r="AW566" s="696">
        <f t="shared" si="224"/>
        <v>8667</v>
      </c>
      <c r="AX566" s="697">
        <f t="shared" si="225"/>
        <v>361.125</v>
      </c>
      <c r="AY566" s="700">
        <f t="shared" si="234"/>
        <v>4844.0916666666662</v>
      </c>
      <c r="AZ566" s="697">
        <f t="shared" si="235"/>
        <v>4996.0249999999996</v>
      </c>
      <c r="BA566" s="680"/>
    </row>
    <row r="567" spans="1:53">
      <c r="A567" s="517" t="s">
        <v>279</v>
      </c>
      <c r="B567" s="290" t="s">
        <v>851</v>
      </c>
      <c r="C567" s="297">
        <v>227526</v>
      </c>
      <c r="D567" s="153">
        <v>3</v>
      </c>
      <c r="E567" s="148" t="s">
        <v>393</v>
      </c>
      <c r="F567" s="549" t="s">
        <v>393</v>
      </c>
      <c r="G567" s="679"/>
      <c r="H567" s="678"/>
      <c r="I567" s="679">
        <v>76109</v>
      </c>
      <c r="J567" s="678">
        <v>73908</v>
      </c>
      <c r="K567" s="679">
        <v>11671</v>
      </c>
      <c r="L567" s="678">
        <v>11359</v>
      </c>
      <c r="M567" s="679">
        <v>82896</v>
      </c>
      <c r="N567" s="678">
        <v>87612</v>
      </c>
      <c r="O567" s="694">
        <f t="shared" si="226"/>
        <v>170676</v>
      </c>
      <c r="P567" s="695">
        <f t="shared" si="219"/>
        <v>5689.2</v>
      </c>
      <c r="Q567" s="696">
        <f t="shared" si="227"/>
        <v>172879</v>
      </c>
      <c r="R567" s="697">
        <f t="shared" si="220"/>
        <v>5762.6333333333332</v>
      </c>
      <c r="S567" s="679">
        <v>0</v>
      </c>
      <c r="T567" s="678">
        <v>0</v>
      </c>
      <c r="U567" s="694">
        <f t="shared" si="228"/>
        <v>170676</v>
      </c>
      <c r="V567" s="698">
        <f t="shared" si="229"/>
        <v>172879</v>
      </c>
      <c r="W567" s="679"/>
      <c r="X567" s="678"/>
      <c r="Y567" s="679"/>
      <c r="Z567" s="678"/>
      <c r="AA567" s="679"/>
      <c r="AB567" s="678"/>
      <c r="AC567" s="679"/>
      <c r="AD567" s="678"/>
      <c r="AE567" s="694">
        <f t="shared" si="230"/>
        <v>0</v>
      </c>
      <c r="AF567" s="695">
        <f t="shared" si="221"/>
        <v>0</v>
      </c>
      <c r="AG567" s="696">
        <f t="shared" si="231"/>
        <v>0</v>
      </c>
      <c r="AH567" s="697">
        <f t="shared" si="222"/>
        <v>0</v>
      </c>
      <c r="AI567" s="679"/>
      <c r="AJ567" s="678"/>
      <c r="AK567" s="694">
        <f t="shared" si="232"/>
        <v>0</v>
      </c>
      <c r="AL567" s="698">
        <f t="shared" si="233"/>
        <v>0</v>
      </c>
      <c r="AM567" s="679"/>
      <c r="AN567" s="678"/>
      <c r="AO567" s="679">
        <v>16339</v>
      </c>
      <c r="AP567" s="678">
        <v>13576</v>
      </c>
      <c r="AQ567" s="679">
        <v>7970</v>
      </c>
      <c r="AR567" s="678">
        <v>6586</v>
      </c>
      <c r="AS567" s="679">
        <v>13087</v>
      </c>
      <c r="AT567" s="678">
        <v>12923</v>
      </c>
      <c r="AU567" s="699">
        <f t="shared" si="223"/>
        <v>37396</v>
      </c>
      <c r="AV567" s="695">
        <f t="shared" si="218"/>
        <v>1558.1666666666667</v>
      </c>
      <c r="AW567" s="696">
        <f t="shared" si="224"/>
        <v>33085</v>
      </c>
      <c r="AX567" s="697">
        <f t="shared" si="225"/>
        <v>1378.5416666666667</v>
      </c>
      <c r="AY567" s="700">
        <f t="shared" si="234"/>
        <v>7247.3666666666668</v>
      </c>
      <c r="AZ567" s="697">
        <f t="shared" si="235"/>
        <v>7141.1750000000002</v>
      </c>
      <c r="BA567" s="680"/>
    </row>
    <row r="568" spans="1:53">
      <c r="A568" s="517" t="s">
        <v>279</v>
      </c>
      <c r="B568" s="290" t="s">
        <v>289</v>
      </c>
      <c r="C568" s="297">
        <v>227881</v>
      </c>
      <c r="D568" s="153">
        <v>3</v>
      </c>
      <c r="E568" s="148" t="s">
        <v>393</v>
      </c>
      <c r="F568" s="549" t="s">
        <v>393</v>
      </c>
      <c r="G568" s="679"/>
      <c r="H568" s="678"/>
      <c r="I568" s="679">
        <v>171858</v>
      </c>
      <c r="J568" s="678">
        <v>170553</v>
      </c>
      <c r="K568" s="679">
        <v>39347</v>
      </c>
      <c r="L568" s="678">
        <v>40384</v>
      </c>
      <c r="M568" s="679">
        <v>186925</v>
      </c>
      <c r="N568" s="678">
        <v>187756</v>
      </c>
      <c r="O568" s="694">
        <f t="shared" si="226"/>
        <v>398130</v>
      </c>
      <c r="P568" s="695">
        <f t="shared" si="219"/>
        <v>13271</v>
      </c>
      <c r="Q568" s="696">
        <f t="shared" si="227"/>
        <v>398693</v>
      </c>
      <c r="R568" s="697">
        <f t="shared" si="220"/>
        <v>13289.766666666666</v>
      </c>
      <c r="S568" s="679">
        <v>0</v>
      </c>
      <c r="T568" s="678">
        <v>0</v>
      </c>
      <c r="U568" s="694">
        <f t="shared" si="228"/>
        <v>398130</v>
      </c>
      <c r="V568" s="698">
        <f t="shared" si="229"/>
        <v>398693</v>
      </c>
      <c r="W568" s="679"/>
      <c r="X568" s="678"/>
      <c r="Y568" s="679"/>
      <c r="Z568" s="678"/>
      <c r="AA568" s="679"/>
      <c r="AB568" s="678"/>
      <c r="AC568" s="679"/>
      <c r="AD568" s="678"/>
      <c r="AE568" s="694">
        <f t="shared" si="230"/>
        <v>0</v>
      </c>
      <c r="AF568" s="695">
        <f t="shared" si="221"/>
        <v>0</v>
      </c>
      <c r="AG568" s="696">
        <f t="shared" si="231"/>
        <v>0</v>
      </c>
      <c r="AH568" s="697">
        <f t="shared" si="222"/>
        <v>0</v>
      </c>
      <c r="AI568" s="679"/>
      <c r="AJ568" s="678"/>
      <c r="AK568" s="694">
        <f t="shared" si="232"/>
        <v>0</v>
      </c>
      <c r="AL568" s="698">
        <f t="shared" si="233"/>
        <v>0</v>
      </c>
      <c r="AM568" s="679"/>
      <c r="AN568" s="678"/>
      <c r="AO568" s="679">
        <v>12965</v>
      </c>
      <c r="AP568" s="678">
        <v>12144</v>
      </c>
      <c r="AQ568" s="679">
        <v>11410</v>
      </c>
      <c r="AR568" s="678">
        <v>10174</v>
      </c>
      <c r="AS568" s="679">
        <v>13803</v>
      </c>
      <c r="AT568" s="678">
        <v>12930</v>
      </c>
      <c r="AU568" s="699">
        <f t="shared" si="223"/>
        <v>38178</v>
      </c>
      <c r="AV568" s="695">
        <f t="shared" si="218"/>
        <v>1590.75</v>
      </c>
      <c r="AW568" s="696">
        <f t="shared" si="224"/>
        <v>35248</v>
      </c>
      <c r="AX568" s="697">
        <f t="shared" si="225"/>
        <v>1468.6666666666667</v>
      </c>
      <c r="AY568" s="700">
        <f t="shared" si="234"/>
        <v>14861.75</v>
      </c>
      <c r="AZ568" s="697">
        <f t="shared" si="235"/>
        <v>14758.433333333332</v>
      </c>
      <c r="BA568" s="680"/>
    </row>
    <row r="569" spans="1:53">
      <c r="A569" s="517" t="s">
        <v>279</v>
      </c>
      <c r="B569" s="290" t="s">
        <v>290</v>
      </c>
      <c r="C569" s="297">
        <v>228431</v>
      </c>
      <c r="D569" s="153">
        <v>3</v>
      </c>
      <c r="E569" s="148" t="s">
        <v>393</v>
      </c>
      <c r="F569" s="549" t="s">
        <v>393</v>
      </c>
      <c r="G569" s="679"/>
      <c r="H569" s="678"/>
      <c r="I569" s="679">
        <v>118694</v>
      </c>
      <c r="J569" s="678">
        <v>123875</v>
      </c>
      <c r="K569" s="679">
        <v>31178</v>
      </c>
      <c r="L569" s="678">
        <v>31063</v>
      </c>
      <c r="M569" s="679">
        <v>134092</v>
      </c>
      <c r="N569" s="678">
        <v>142654</v>
      </c>
      <c r="O569" s="694">
        <f t="shared" si="226"/>
        <v>283964</v>
      </c>
      <c r="P569" s="695">
        <f t="shared" si="219"/>
        <v>9465.4666666666672</v>
      </c>
      <c r="Q569" s="696">
        <f t="shared" si="227"/>
        <v>297592</v>
      </c>
      <c r="R569" s="697">
        <f t="shared" si="220"/>
        <v>9919.7333333333336</v>
      </c>
      <c r="S569" s="679">
        <v>1124</v>
      </c>
      <c r="T569" s="678">
        <v>1677</v>
      </c>
      <c r="U569" s="694">
        <f t="shared" si="228"/>
        <v>283964</v>
      </c>
      <c r="V569" s="698">
        <f t="shared" si="229"/>
        <v>297592</v>
      </c>
      <c r="W569" s="679"/>
      <c r="X569" s="678"/>
      <c r="Y569" s="679"/>
      <c r="Z569" s="678"/>
      <c r="AA569" s="679"/>
      <c r="AB569" s="678"/>
      <c r="AC569" s="679"/>
      <c r="AD569" s="678"/>
      <c r="AE569" s="694">
        <f t="shared" si="230"/>
        <v>0</v>
      </c>
      <c r="AF569" s="695">
        <f t="shared" si="221"/>
        <v>0</v>
      </c>
      <c r="AG569" s="696">
        <f t="shared" si="231"/>
        <v>0</v>
      </c>
      <c r="AH569" s="697">
        <f t="shared" si="222"/>
        <v>0</v>
      </c>
      <c r="AI569" s="679"/>
      <c r="AJ569" s="678"/>
      <c r="AK569" s="694">
        <f t="shared" si="232"/>
        <v>0</v>
      </c>
      <c r="AL569" s="698">
        <f t="shared" si="233"/>
        <v>0</v>
      </c>
      <c r="AM569" s="679"/>
      <c r="AN569" s="678"/>
      <c r="AO569" s="679">
        <v>9867</v>
      </c>
      <c r="AP569" s="678">
        <v>10645</v>
      </c>
      <c r="AQ569" s="679">
        <v>7055</v>
      </c>
      <c r="AR569" s="678">
        <v>6938</v>
      </c>
      <c r="AS569" s="679">
        <v>10034</v>
      </c>
      <c r="AT569" s="678">
        <v>10274</v>
      </c>
      <c r="AU569" s="699">
        <f t="shared" si="223"/>
        <v>26956</v>
      </c>
      <c r="AV569" s="695">
        <f t="shared" si="218"/>
        <v>1123.1666666666667</v>
      </c>
      <c r="AW569" s="696">
        <f t="shared" si="224"/>
        <v>27857</v>
      </c>
      <c r="AX569" s="697">
        <f t="shared" si="225"/>
        <v>1160.7083333333333</v>
      </c>
      <c r="AY569" s="700">
        <f t="shared" si="234"/>
        <v>10588.633333333333</v>
      </c>
      <c r="AZ569" s="697">
        <f t="shared" si="235"/>
        <v>11080.441666666668</v>
      </c>
      <c r="BA569" s="680"/>
    </row>
    <row r="570" spans="1:53">
      <c r="A570" s="517" t="s">
        <v>279</v>
      </c>
      <c r="B570" s="290" t="s">
        <v>291</v>
      </c>
      <c r="C570" s="297">
        <v>228501</v>
      </c>
      <c r="D570" s="153">
        <v>3</v>
      </c>
      <c r="E570" s="148" t="s">
        <v>393</v>
      </c>
      <c r="F570" s="549" t="s">
        <v>393</v>
      </c>
      <c r="G570" s="679"/>
      <c r="H570" s="678"/>
      <c r="I570" s="679">
        <v>13952</v>
      </c>
      <c r="J570" s="678">
        <v>14486</v>
      </c>
      <c r="K570" s="679">
        <v>3585</v>
      </c>
      <c r="L570" s="678">
        <v>2951</v>
      </c>
      <c r="M570" s="679">
        <v>16465</v>
      </c>
      <c r="N570" s="678">
        <v>18464</v>
      </c>
      <c r="O570" s="694">
        <f t="shared" si="226"/>
        <v>34002</v>
      </c>
      <c r="P570" s="695">
        <f t="shared" si="219"/>
        <v>1133.4000000000001</v>
      </c>
      <c r="Q570" s="696">
        <f t="shared" si="227"/>
        <v>35901</v>
      </c>
      <c r="R570" s="697">
        <f t="shared" si="220"/>
        <v>1196.7</v>
      </c>
      <c r="S570" s="679">
        <v>256</v>
      </c>
      <c r="T570" s="678">
        <v>684</v>
      </c>
      <c r="U570" s="694">
        <f t="shared" si="228"/>
        <v>34002</v>
      </c>
      <c r="V570" s="698">
        <f t="shared" si="229"/>
        <v>35901</v>
      </c>
      <c r="W570" s="679"/>
      <c r="X570" s="678"/>
      <c r="Y570" s="679"/>
      <c r="Z570" s="678"/>
      <c r="AA570" s="679"/>
      <c r="AB570" s="678"/>
      <c r="AC570" s="679"/>
      <c r="AD570" s="678"/>
      <c r="AE570" s="694">
        <f t="shared" si="230"/>
        <v>0</v>
      </c>
      <c r="AF570" s="695">
        <f t="shared" si="221"/>
        <v>0</v>
      </c>
      <c r="AG570" s="696">
        <f t="shared" si="231"/>
        <v>0</v>
      </c>
      <c r="AH570" s="697">
        <f t="shared" si="222"/>
        <v>0</v>
      </c>
      <c r="AI570" s="679"/>
      <c r="AJ570" s="678"/>
      <c r="AK570" s="694">
        <f t="shared" si="232"/>
        <v>0</v>
      </c>
      <c r="AL570" s="698">
        <f t="shared" si="233"/>
        <v>0</v>
      </c>
      <c r="AM570" s="679"/>
      <c r="AN570" s="678"/>
      <c r="AO570" s="679">
        <v>2874</v>
      </c>
      <c r="AP570" s="678">
        <v>3122</v>
      </c>
      <c r="AQ570" s="679">
        <v>2990</v>
      </c>
      <c r="AR570" s="678">
        <v>3344</v>
      </c>
      <c r="AS570" s="679">
        <v>2747</v>
      </c>
      <c r="AT570" s="678">
        <v>2945</v>
      </c>
      <c r="AU570" s="699">
        <f t="shared" si="223"/>
        <v>8611</v>
      </c>
      <c r="AV570" s="695">
        <f t="shared" si="218"/>
        <v>358.79166666666669</v>
      </c>
      <c r="AW570" s="696">
        <f t="shared" si="224"/>
        <v>9411</v>
      </c>
      <c r="AX570" s="697">
        <f t="shared" si="225"/>
        <v>392.125</v>
      </c>
      <c r="AY570" s="700">
        <f t="shared" si="234"/>
        <v>1492.1916666666668</v>
      </c>
      <c r="AZ570" s="697">
        <f t="shared" si="235"/>
        <v>1588.825</v>
      </c>
      <c r="BA570" s="680"/>
    </row>
    <row r="571" spans="1:53">
      <c r="A571" s="517" t="s">
        <v>279</v>
      </c>
      <c r="B571" s="290" t="s">
        <v>852</v>
      </c>
      <c r="C571" s="297">
        <v>228529</v>
      </c>
      <c r="D571" s="153">
        <v>3</v>
      </c>
      <c r="E571" s="148" t="s">
        <v>393</v>
      </c>
      <c r="F571" s="549" t="s">
        <v>393</v>
      </c>
      <c r="G571" s="679"/>
      <c r="H571" s="678"/>
      <c r="I571" s="679">
        <v>86705</v>
      </c>
      <c r="J571" s="678">
        <v>88440</v>
      </c>
      <c r="K571" s="679">
        <v>23694</v>
      </c>
      <c r="L571" s="678">
        <v>26587</v>
      </c>
      <c r="M571" s="679">
        <v>92339</v>
      </c>
      <c r="N571" s="678">
        <v>87683</v>
      </c>
      <c r="O571" s="694">
        <f t="shared" si="226"/>
        <v>202738</v>
      </c>
      <c r="P571" s="695">
        <f t="shared" si="219"/>
        <v>6757.9333333333334</v>
      </c>
      <c r="Q571" s="696">
        <f t="shared" si="227"/>
        <v>202710</v>
      </c>
      <c r="R571" s="697">
        <f t="shared" si="220"/>
        <v>6757</v>
      </c>
      <c r="S571" s="679">
        <v>211</v>
      </c>
      <c r="T571" s="678">
        <v>133</v>
      </c>
      <c r="U571" s="694">
        <f t="shared" si="228"/>
        <v>202738</v>
      </c>
      <c r="V571" s="698">
        <f t="shared" si="229"/>
        <v>202710</v>
      </c>
      <c r="W571" s="679"/>
      <c r="X571" s="678"/>
      <c r="Y571" s="679"/>
      <c r="Z571" s="678"/>
      <c r="AA571" s="679"/>
      <c r="AB571" s="678"/>
      <c r="AC571" s="679"/>
      <c r="AD571" s="678"/>
      <c r="AE571" s="694">
        <f t="shared" si="230"/>
        <v>0</v>
      </c>
      <c r="AF571" s="695">
        <f t="shared" si="221"/>
        <v>0</v>
      </c>
      <c r="AG571" s="696">
        <f t="shared" si="231"/>
        <v>0</v>
      </c>
      <c r="AH571" s="697">
        <f t="shared" si="222"/>
        <v>0</v>
      </c>
      <c r="AI571" s="679"/>
      <c r="AJ571" s="678"/>
      <c r="AK571" s="694">
        <f t="shared" si="232"/>
        <v>0</v>
      </c>
      <c r="AL571" s="698">
        <f t="shared" si="233"/>
        <v>0</v>
      </c>
      <c r="AM571" s="679"/>
      <c r="AN571" s="678"/>
      <c r="AO571" s="679">
        <v>9277</v>
      </c>
      <c r="AP571" s="678">
        <v>10798</v>
      </c>
      <c r="AQ571" s="679">
        <v>9321</v>
      </c>
      <c r="AR571" s="678">
        <v>10083</v>
      </c>
      <c r="AS571" s="679">
        <v>9532</v>
      </c>
      <c r="AT571" s="678">
        <v>7214</v>
      </c>
      <c r="AU571" s="699">
        <f t="shared" si="223"/>
        <v>28130</v>
      </c>
      <c r="AV571" s="695">
        <f t="shared" si="218"/>
        <v>1172.0833333333333</v>
      </c>
      <c r="AW571" s="696">
        <f t="shared" si="224"/>
        <v>28095</v>
      </c>
      <c r="AX571" s="697">
        <f t="shared" si="225"/>
        <v>1170.625</v>
      </c>
      <c r="AY571" s="700">
        <f t="shared" si="234"/>
        <v>7930.0166666666664</v>
      </c>
      <c r="AZ571" s="697">
        <f t="shared" si="235"/>
        <v>7927.625</v>
      </c>
      <c r="BA571" s="680"/>
    </row>
    <row r="572" spans="1:53">
      <c r="A572" s="517" t="s">
        <v>279</v>
      </c>
      <c r="B572" s="518" t="s">
        <v>261</v>
      </c>
      <c r="C572" s="519">
        <v>226152</v>
      </c>
      <c r="D572" s="476">
        <v>3</v>
      </c>
      <c r="E572" s="148" t="s">
        <v>393</v>
      </c>
      <c r="F572" s="549" t="s">
        <v>393</v>
      </c>
      <c r="G572" s="679"/>
      <c r="H572" s="678"/>
      <c r="I572" s="679">
        <v>43790</v>
      </c>
      <c r="J572" s="678">
        <v>48794</v>
      </c>
      <c r="K572" s="679">
        <v>14421</v>
      </c>
      <c r="L572" s="678">
        <v>13895</v>
      </c>
      <c r="M572" s="679">
        <v>51429</v>
      </c>
      <c r="N572" s="678">
        <v>57286</v>
      </c>
      <c r="O572" s="694">
        <f t="shared" si="226"/>
        <v>109640</v>
      </c>
      <c r="P572" s="695">
        <f t="shared" si="219"/>
        <v>3654.6666666666665</v>
      </c>
      <c r="Q572" s="696">
        <f t="shared" si="227"/>
        <v>119975</v>
      </c>
      <c r="R572" s="697">
        <f t="shared" si="220"/>
        <v>3999.1666666666665</v>
      </c>
      <c r="S572" s="679">
        <v>4970</v>
      </c>
      <c r="T572" s="678">
        <v>7312</v>
      </c>
      <c r="U572" s="694">
        <f t="shared" si="228"/>
        <v>109640</v>
      </c>
      <c r="V572" s="698">
        <f t="shared" si="229"/>
        <v>119975</v>
      </c>
      <c r="W572" s="679"/>
      <c r="X572" s="678"/>
      <c r="Y572" s="679"/>
      <c r="Z572" s="678"/>
      <c r="AA572" s="679"/>
      <c r="AB572" s="678"/>
      <c r="AC572" s="679"/>
      <c r="AD572" s="678"/>
      <c r="AE572" s="694">
        <f t="shared" si="230"/>
        <v>0</v>
      </c>
      <c r="AF572" s="695">
        <f t="shared" si="221"/>
        <v>0</v>
      </c>
      <c r="AG572" s="696">
        <f t="shared" si="231"/>
        <v>0</v>
      </c>
      <c r="AH572" s="697">
        <f t="shared" si="222"/>
        <v>0</v>
      </c>
      <c r="AI572" s="679"/>
      <c r="AJ572" s="678"/>
      <c r="AK572" s="694">
        <f t="shared" si="232"/>
        <v>0</v>
      </c>
      <c r="AL572" s="698">
        <f t="shared" si="233"/>
        <v>0</v>
      </c>
      <c r="AM572" s="679"/>
      <c r="AN572" s="678"/>
      <c r="AO572" s="679">
        <v>5669</v>
      </c>
      <c r="AP572" s="678">
        <v>5975</v>
      </c>
      <c r="AQ572" s="679">
        <v>4013</v>
      </c>
      <c r="AR572" s="678">
        <v>3496</v>
      </c>
      <c r="AS572" s="679">
        <v>5792</v>
      </c>
      <c r="AT572" s="678">
        <v>5662</v>
      </c>
      <c r="AU572" s="699">
        <f t="shared" si="223"/>
        <v>15474</v>
      </c>
      <c r="AV572" s="695">
        <f t="shared" si="218"/>
        <v>644.75</v>
      </c>
      <c r="AW572" s="696">
        <f t="shared" si="224"/>
        <v>15133</v>
      </c>
      <c r="AX572" s="697">
        <f t="shared" si="225"/>
        <v>630.54166666666663</v>
      </c>
      <c r="AY572" s="700">
        <f t="shared" si="234"/>
        <v>4299.4166666666661</v>
      </c>
      <c r="AZ572" s="697">
        <f t="shared" si="235"/>
        <v>4629.708333333333</v>
      </c>
      <c r="BA572" s="680"/>
    </row>
    <row r="573" spans="1:53">
      <c r="A573" s="517" t="s">
        <v>279</v>
      </c>
      <c r="B573" s="290" t="s">
        <v>853</v>
      </c>
      <c r="C573" s="297">
        <v>224554</v>
      </c>
      <c r="D573" s="153">
        <v>3</v>
      </c>
      <c r="E573" s="148" t="s">
        <v>393</v>
      </c>
      <c r="F573" s="549" t="s">
        <v>393</v>
      </c>
      <c r="G573" s="679"/>
      <c r="H573" s="678"/>
      <c r="I573" s="679">
        <v>53877</v>
      </c>
      <c r="J573" s="678">
        <v>58148</v>
      </c>
      <c r="K573" s="679">
        <v>16398</v>
      </c>
      <c r="L573" s="678">
        <v>13381</v>
      </c>
      <c r="M573" s="679">
        <v>59701</v>
      </c>
      <c r="N573" s="678">
        <v>62582</v>
      </c>
      <c r="O573" s="694">
        <f t="shared" si="226"/>
        <v>129976</v>
      </c>
      <c r="P573" s="695">
        <f t="shared" si="219"/>
        <v>4332.5333333333338</v>
      </c>
      <c r="Q573" s="696">
        <f t="shared" si="227"/>
        <v>134111</v>
      </c>
      <c r="R573" s="697">
        <f t="shared" si="220"/>
        <v>4470.3666666666668</v>
      </c>
      <c r="S573" s="679">
        <v>176</v>
      </c>
      <c r="T573" s="678">
        <v>80</v>
      </c>
      <c r="U573" s="694">
        <f t="shared" si="228"/>
        <v>129976</v>
      </c>
      <c r="V573" s="698">
        <f t="shared" si="229"/>
        <v>134111</v>
      </c>
      <c r="W573" s="679"/>
      <c r="X573" s="678"/>
      <c r="Y573" s="679"/>
      <c r="Z573" s="678"/>
      <c r="AA573" s="679"/>
      <c r="AB573" s="678"/>
      <c r="AC573" s="679"/>
      <c r="AD573" s="678"/>
      <c r="AE573" s="694">
        <f t="shared" si="230"/>
        <v>0</v>
      </c>
      <c r="AF573" s="695">
        <f t="shared" si="221"/>
        <v>0</v>
      </c>
      <c r="AG573" s="696">
        <f t="shared" si="231"/>
        <v>0</v>
      </c>
      <c r="AH573" s="697">
        <f t="shared" si="222"/>
        <v>0</v>
      </c>
      <c r="AI573" s="679"/>
      <c r="AJ573" s="678"/>
      <c r="AK573" s="694">
        <f t="shared" si="232"/>
        <v>0</v>
      </c>
      <c r="AL573" s="698">
        <f t="shared" si="233"/>
        <v>0</v>
      </c>
      <c r="AM573" s="679"/>
      <c r="AN573" s="678"/>
      <c r="AO573" s="679">
        <v>20309</v>
      </c>
      <c r="AP573" s="678">
        <v>23768</v>
      </c>
      <c r="AQ573" s="679">
        <v>19304</v>
      </c>
      <c r="AR573" s="678">
        <v>14631</v>
      </c>
      <c r="AS573" s="679">
        <v>22425</v>
      </c>
      <c r="AT573" s="678">
        <v>21645</v>
      </c>
      <c r="AU573" s="699">
        <f t="shared" si="223"/>
        <v>62038</v>
      </c>
      <c r="AV573" s="695">
        <f t="shared" si="218"/>
        <v>2584.9166666666665</v>
      </c>
      <c r="AW573" s="696">
        <f t="shared" si="224"/>
        <v>60044</v>
      </c>
      <c r="AX573" s="697">
        <f t="shared" si="225"/>
        <v>2501.8333333333335</v>
      </c>
      <c r="AY573" s="700">
        <f t="shared" si="234"/>
        <v>6917.4500000000007</v>
      </c>
      <c r="AZ573" s="697">
        <f t="shared" si="235"/>
        <v>6972.2000000000007</v>
      </c>
      <c r="BA573" s="680"/>
    </row>
    <row r="574" spans="1:53">
      <c r="A574" s="517" t="s">
        <v>279</v>
      </c>
      <c r="B574" s="290" t="s">
        <v>854</v>
      </c>
      <c r="C574" s="297">
        <v>224147</v>
      </c>
      <c r="D574" s="153">
        <v>3</v>
      </c>
      <c r="E574" s="148" t="s">
        <v>393</v>
      </c>
      <c r="F574" s="549" t="s">
        <v>393</v>
      </c>
      <c r="G574" s="679"/>
      <c r="H574" s="678"/>
      <c r="I574" s="679">
        <v>74951</v>
      </c>
      <c r="J574" s="678">
        <v>82657</v>
      </c>
      <c r="K574" s="679">
        <v>23383</v>
      </c>
      <c r="L574" s="678">
        <v>23344</v>
      </c>
      <c r="M574" s="679">
        <v>89351</v>
      </c>
      <c r="N574" s="678">
        <v>91979</v>
      </c>
      <c r="O574" s="694">
        <f t="shared" si="226"/>
        <v>187685</v>
      </c>
      <c r="P574" s="695">
        <f t="shared" si="219"/>
        <v>6256.166666666667</v>
      </c>
      <c r="Q574" s="696">
        <f t="shared" si="227"/>
        <v>197980</v>
      </c>
      <c r="R574" s="697">
        <f t="shared" si="220"/>
        <v>6599.333333333333</v>
      </c>
      <c r="S574" s="679">
        <v>900</v>
      </c>
      <c r="T574" s="678">
        <v>1120</v>
      </c>
      <c r="U574" s="694">
        <f t="shared" si="228"/>
        <v>187685</v>
      </c>
      <c r="V574" s="698">
        <f t="shared" si="229"/>
        <v>197980</v>
      </c>
      <c r="W574" s="679"/>
      <c r="X574" s="678"/>
      <c r="Y574" s="679"/>
      <c r="Z574" s="678"/>
      <c r="AA574" s="679"/>
      <c r="AB574" s="678"/>
      <c r="AC574" s="679"/>
      <c r="AD574" s="678"/>
      <c r="AE574" s="694">
        <f t="shared" si="230"/>
        <v>0</v>
      </c>
      <c r="AF574" s="695">
        <f t="shared" si="221"/>
        <v>0</v>
      </c>
      <c r="AG574" s="696">
        <f t="shared" si="231"/>
        <v>0</v>
      </c>
      <c r="AH574" s="697">
        <f t="shared" si="222"/>
        <v>0</v>
      </c>
      <c r="AI574" s="679"/>
      <c r="AJ574" s="678"/>
      <c r="AK574" s="694">
        <f t="shared" si="232"/>
        <v>0</v>
      </c>
      <c r="AL574" s="698">
        <f t="shared" si="233"/>
        <v>0</v>
      </c>
      <c r="AM574" s="679"/>
      <c r="AN574" s="678"/>
      <c r="AO574" s="679">
        <v>7877</v>
      </c>
      <c r="AP574" s="678">
        <v>10096</v>
      </c>
      <c r="AQ574" s="679">
        <v>7347</v>
      </c>
      <c r="AR574" s="678">
        <v>6834</v>
      </c>
      <c r="AS574" s="679">
        <v>10249</v>
      </c>
      <c r="AT574" s="678">
        <v>11021</v>
      </c>
      <c r="AU574" s="699">
        <f t="shared" si="223"/>
        <v>25473</v>
      </c>
      <c r="AV574" s="695">
        <f t="shared" si="218"/>
        <v>1061.375</v>
      </c>
      <c r="AW574" s="696">
        <f t="shared" si="224"/>
        <v>27951</v>
      </c>
      <c r="AX574" s="697">
        <f t="shared" si="225"/>
        <v>1164.625</v>
      </c>
      <c r="AY574" s="700">
        <f t="shared" si="234"/>
        <v>7317.541666666667</v>
      </c>
      <c r="AZ574" s="697">
        <f t="shared" si="235"/>
        <v>7763.958333333333</v>
      </c>
      <c r="BA574" s="680"/>
    </row>
    <row r="575" spans="1:53">
      <c r="A575" s="517" t="s">
        <v>279</v>
      </c>
      <c r="B575" s="290" t="s">
        <v>855</v>
      </c>
      <c r="C575" s="297">
        <v>228705</v>
      </c>
      <c r="D575" s="153">
        <v>3</v>
      </c>
      <c r="E575" s="148" t="s">
        <v>393</v>
      </c>
      <c r="F575" s="550" t="s">
        <v>393</v>
      </c>
      <c r="G575" s="679"/>
      <c r="H575" s="678"/>
      <c r="I575" s="679">
        <v>55409</v>
      </c>
      <c r="J575" s="678">
        <v>60465</v>
      </c>
      <c r="K575" s="679">
        <v>15614</v>
      </c>
      <c r="L575" s="678">
        <v>14642</v>
      </c>
      <c r="M575" s="679">
        <v>64697</v>
      </c>
      <c r="N575" s="678">
        <v>57124</v>
      </c>
      <c r="O575" s="694">
        <f t="shared" si="226"/>
        <v>135720</v>
      </c>
      <c r="P575" s="695">
        <f t="shared" si="219"/>
        <v>4524</v>
      </c>
      <c r="Q575" s="696">
        <f t="shared" si="227"/>
        <v>132231</v>
      </c>
      <c r="R575" s="697">
        <f t="shared" si="220"/>
        <v>4407.7</v>
      </c>
      <c r="S575" s="679">
        <v>0</v>
      </c>
      <c r="T575" s="678">
        <v>0</v>
      </c>
      <c r="U575" s="694">
        <f t="shared" si="228"/>
        <v>135720</v>
      </c>
      <c r="V575" s="698">
        <f t="shared" si="229"/>
        <v>132231</v>
      </c>
      <c r="W575" s="679"/>
      <c r="X575" s="678"/>
      <c r="Y575" s="679"/>
      <c r="Z575" s="678"/>
      <c r="AA575" s="679"/>
      <c r="AB575" s="678"/>
      <c r="AC575" s="679"/>
      <c r="AD575" s="678"/>
      <c r="AE575" s="694">
        <f t="shared" si="230"/>
        <v>0</v>
      </c>
      <c r="AF575" s="695">
        <f t="shared" si="221"/>
        <v>0</v>
      </c>
      <c r="AG575" s="696">
        <f t="shared" si="231"/>
        <v>0</v>
      </c>
      <c r="AH575" s="697">
        <f t="shared" si="222"/>
        <v>0</v>
      </c>
      <c r="AI575" s="679"/>
      <c r="AJ575" s="678"/>
      <c r="AK575" s="694">
        <f t="shared" si="232"/>
        <v>0</v>
      </c>
      <c r="AL575" s="698">
        <f t="shared" si="233"/>
        <v>0</v>
      </c>
      <c r="AM575" s="679"/>
      <c r="AN575" s="678"/>
      <c r="AO575" s="679">
        <v>10664</v>
      </c>
      <c r="AP575" s="678">
        <v>11565</v>
      </c>
      <c r="AQ575" s="679">
        <v>7208</v>
      </c>
      <c r="AR575" s="678">
        <v>6619</v>
      </c>
      <c r="AS575" s="679">
        <v>11072</v>
      </c>
      <c r="AT575" s="678">
        <v>8892</v>
      </c>
      <c r="AU575" s="699">
        <f t="shared" si="223"/>
        <v>28944</v>
      </c>
      <c r="AV575" s="695">
        <f t="shared" si="218"/>
        <v>1206</v>
      </c>
      <c r="AW575" s="696">
        <f t="shared" si="224"/>
        <v>27076</v>
      </c>
      <c r="AX575" s="697">
        <f t="shared" si="225"/>
        <v>1128.1666666666667</v>
      </c>
      <c r="AY575" s="700">
        <f t="shared" si="234"/>
        <v>5730</v>
      </c>
      <c r="AZ575" s="697">
        <f t="shared" si="235"/>
        <v>5535.8666666666668</v>
      </c>
      <c r="BA575" s="680"/>
    </row>
    <row r="576" spans="1:53">
      <c r="A576" s="517" t="s">
        <v>279</v>
      </c>
      <c r="B576" s="290" t="s">
        <v>292</v>
      </c>
      <c r="C576" s="297">
        <v>229063</v>
      </c>
      <c r="D576" s="153">
        <v>3</v>
      </c>
      <c r="E576" s="148" t="s">
        <v>393</v>
      </c>
      <c r="F576" s="550" t="s">
        <v>393</v>
      </c>
      <c r="G576" s="679"/>
      <c r="H576" s="678"/>
      <c r="I576" s="679">
        <v>82479</v>
      </c>
      <c r="J576" s="678">
        <v>77361</v>
      </c>
      <c r="K576" s="679">
        <v>11464</v>
      </c>
      <c r="L576" s="678">
        <v>11399</v>
      </c>
      <c r="M576" s="679">
        <v>86820</v>
      </c>
      <c r="N576" s="678">
        <v>88647</v>
      </c>
      <c r="O576" s="694">
        <f t="shared" si="226"/>
        <v>180763</v>
      </c>
      <c r="P576" s="695">
        <f t="shared" si="219"/>
        <v>6025.4333333333334</v>
      </c>
      <c r="Q576" s="696">
        <f t="shared" si="227"/>
        <v>177407</v>
      </c>
      <c r="R576" s="697">
        <f t="shared" si="220"/>
        <v>5913.5666666666666</v>
      </c>
      <c r="S576" s="679">
        <v>0</v>
      </c>
      <c r="T576" s="678">
        <v>0</v>
      </c>
      <c r="U576" s="694">
        <f t="shared" si="228"/>
        <v>180763</v>
      </c>
      <c r="V576" s="698">
        <f t="shared" si="229"/>
        <v>177407</v>
      </c>
      <c r="W576" s="679"/>
      <c r="X576" s="678"/>
      <c r="Y576" s="679"/>
      <c r="Z576" s="678"/>
      <c r="AA576" s="679"/>
      <c r="AB576" s="678"/>
      <c r="AC576" s="679"/>
      <c r="AD576" s="678"/>
      <c r="AE576" s="694">
        <f t="shared" si="230"/>
        <v>0</v>
      </c>
      <c r="AF576" s="695">
        <f t="shared" si="221"/>
        <v>0</v>
      </c>
      <c r="AG576" s="696">
        <f t="shared" si="231"/>
        <v>0</v>
      </c>
      <c r="AH576" s="697">
        <f t="shared" si="222"/>
        <v>0</v>
      </c>
      <c r="AI576" s="679"/>
      <c r="AJ576" s="678"/>
      <c r="AK576" s="694">
        <f t="shared" si="232"/>
        <v>0</v>
      </c>
      <c r="AL576" s="698">
        <f t="shared" si="233"/>
        <v>0</v>
      </c>
      <c r="AM576" s="679"/>
      <c r="AN576" s="678"/>
      <c r="AO576" s="679">
        <v>19946</v>
      </c>
      <c r="AP576" s="678">
        <v>19450</v>
      </c>
      <c r="AQ576" s="679">
        <v>4264</v>
      </c>
      <c r="AR576" s="678">
        <v>4633</v>
      </c>
      <c r="AS576" s="679">
        <v>19883</v>
      </c>
      <c r="AT576" s="678">
        <v>22115</v>
      </c>
      <c r="AU576" s="699">
        <f t="shared" si="223"/>
        <v>44093</v>
      </c>
      <c r="AV576" s="695">
        <f t="shared" si="218"/>
        <v>1837.2083333333333</v>
      </c>
      <c r="AW576" s="696">
        <f t="shared" si="224"/>
        <v>46198</v>
      </c>
      <c r="AX576" s="697">
        <f t="shared" si="225"/>
        <v>1924.9166666666667</v>
      </c>
      <c r="AY576" s="700">
        <f t="shared" si="234"/>
        <v>7862.6416666666664</v>
      </c>
      <c r="AZ576" s="697">
        <f t="shared" si="235"/>
        <v>7838.4833333333336</v>
      </c>
      <c r="BA576" s="680"/>
    </row>
    <row r="577" spans="1:53">
      <c r="A577" s="517" t="s">
        <v>279</v>
      </c>
      <c r="B577" s="551" t="s">
        <v>856</v>
      </c>
      <c r="C577" s="297">
        <v>228459</v>
      </c>
      <c r="D577" s="153">
        <v>3</v>
      </c>
      <c r="E577" s="148" t="s">
        <v>393</v>
      </c>
      <c r="F577" s="550" t="s">
        <v>393</v>
      </c>
      <c r="G577" s="679"/>
      <c r="H577" s="678"/>
      <c r="I577" s="679">
        <v>281890</v>
      </c>
      <c r="J577" s="678">
        <v>287466</v>
      </c>
      <c r="K577" s="679">
        <v>67091</v>
      </c>
      <c r="L577" s="678">
        <v>63905</v>
      </c>
      <c r="M577" s="679">
        <v>312589</v>
      </c>
      <c r="N577" s="678">
        <v>326469</v>
      </c>
      <c r="O577" s="694">
        <f t="shared" si="226"/>
        <v>661570</v>
      </c>
      <c r="P577" s="695">
        <f t="shared" si="219"/>
        <v>22052.333333333332</v>
      </c>
      <c r="Q577" s="696">
        <f t="shared" si="227"/>
        <v>677840</v>
      </c>
      <c r="R577" s="697">
        <f t="shared" si="220"/>
        <v>22594.666666666668</v>
      </c>
      <c r="S577" s="679">
        <v>3</v>
      </c>
      <c r="T577" s="678">
        <v>0</v>
      </c>
      <c r="U577" s="694">
        <f t="shared" si="228"/>
        <v>661570</v>
      </c>
      <c r="V577" s="698">
        <f t="shared" si="229"/>
        <v>677840</v>
      </c>
      <c r="W577" s="679"/>
      <c r="X577" s="678"/>
      <c r="Y577" s="679"/>
      <c r="Z577" s="678"/>
      <c r="AA577" s="679"/>
      <c r="AB577" s="678"/>
      <c r="AC577" s="679"/>
      <c r="AD577" s="678"/>
      <c r="AE577" s="694">
        <f t="shared" si="230"/>
        <v>0</v>
      </c>
      <c r="AF577" s="695">
        <f t="shared" si="221"/>
        <v>0</v>
      </c>
      <c r="AG577" s="696">
        <f t="shared" si="231"/>
        <v>0</v>
      </c>
      <c r="AH577" s="697">
        <f t="shared" si="222"/>
        <v>0</v>
      </c>
      <c r="AI577" s="679"/>
      <c r="AJ577" s="678"/>
      <c r="AK577" s="694">
        <f t="shared" si="232"/>
        <v>0</v>
      </c>
      <c r="AL577" s="698">
        <f t="shared" si="233"/>
        <v>0</v>
      </c>
      <c r="AM577" s="679"/>
      <c r="AN577" s="678"/>
      <c r="AO577" s="679">
        <v>24723</v>
      </c>
      <c r="AP577" s="678">
        <v>27382</v>
      </c>
      <c r="AQ577" s="679">
        <v>13210</v>
      </c>
      <c r="AR577" s="678">
        <v>13914</v>
      </c>
      <c r="AS577" s="679">
        <v>27884</v>
      </c>
      <c r="AT577" s="678">
        <v>31461</v>
      </c>
      <c r="AU577" s="699">
        <f t="shared" si="223"/>
        <v>65817</v>
      </c>
      <c r="AV577" s="695">
        <f t="shared" si="218"/>
        <v>2742.375</v>
      </c>
      <c r="AW577" s="696">
        <f t="shared" si="224"/>
        <v>72757</v>
      </c>
      <c r="AX577" s="697">
        <f t="shared" si="225"/>
        <v>3031.5416666666665</v>
      </c>
      <c r="AY577" s="700">
        <f t="shared" si="234"/>
        <v>24794.708333333332</v>
      </c>
      <c r="AZ577" s="697">
        <f t="shared" si="235"/>
        <v>25626.208333333336</v>
      </c>
      <c r="BA577" s="680"/>
    </row>
    <row r="578" spans="1:53">
      <c r="A578" s="517" t="s">
        <v>279</v>
      </c>
      <c r="B578" s="290" t="s">
        <v>293</v>
      </c>
      <c r="C578" s="297">
        <v>225414</v>
      </c>
      <c r="D578" s="153">
        <v>3</v>
      </c>
      <c r="E578" s="148" t="s">
        <v>393</v>
      </c>
      <c r="F578" s="550" t="s">
        <v>393</v>
      </c>
      <c r="G578" s="679"/>
      <c r="H578" s="678"/>
      <c r="I578" s="679">
        <v>39132</v>
      </c>
      <c r="J578" s="678">
        <v>39497</v>
      </c>
      <c r="K578" s="679">
        <v>13018</v>
      </c>
      <c r="L578" s="678">
        <v>12480</v>
      </c>
      <c r="M578" s="679">
        <v>40872</v>
      </c>
      <c r="N578" s="678">
        <v>43093</v>
      </c>
      <c r="O578" s="694">
        <f t="shared" si="226"/>
        <v>93022</v>
      </c>
      <c r="P578" s="695">
        <f t="shared" si="219"/>
        <v>3100.7333333333331</v>
      </c>
      <c r="Q578" s="696">
        <f t="shared" si="227"/>
        <v>95070</v>
      </c>
      <c r="R578" s="697">
        <f t="shared" si="220"/>
        <v>3169</v>
      </c>
      <c r="S578" s="679">
        <v>0</v>
      </c>
      <c r="T578" s="678">
        <v>0</v>
      </c>
      <c r="U578" s="694">
        <f t="shared" si="228"/>
        <v>93022</v>
      </c>
      <c r="V578" s="698">
        <f t="shared" si="229"/>
        <v>95070</v>
      </c>
      <c r="W578" s="679"/>
      <c r="X578" s="678"/>
      <c r="Y578" s="679"/>
      <c r="Z578" s="678"/>
      <c r="AA578" s="679"/>
      <c r="AB578" s="678"/>
      <c r="AC578" s="679"/>
      <c r="AD578" s="678"/>
      <c r="AE578" s="694">
        <f t="shared" si="230"/>
        <v>0</v>
      </c>
      <c r="AF578" s="695">
        <f t="shared" si="221"/>
        <v>0</v>
      </c>
      <c r="AG578" s="696">
        <f t="shared" si="231"/>
        <v>0</v>
      </c>
      <c r="AH578" s="697">
        <f t="shared" si="222"/>
        <v>0</v>
      </c>
      <c r="AI578" s="679"/>
      <c r="AJ578" s="678"/>
      <c r="AK578" s="694">
        <f t="shared" si="232"/>
        <v>0</v>
      </c>
      <c r="AL578" s="698">
        <f t="shared" si="233"/>
        <v>0</v>
      </c>
      <c r="AM578" s="679"/>
      <c r="AN578" s="678"/>
      <c r="AO578" s="679">
        <v>21607</v>
      </c>
      <c r="AP578" s="678">
        <v>21018</v>
      </c>
      <c r="AQ578" s="679">
        <v>10961</v>
      </c>
      <c r="AR578" s="678">
        <v>8634</v>
      </c>
      <c r="AS578" s="679">
        <v>22301</v>
      </c>
      <c r="AT578" s="678">
        <v>21279</v>
      </c>
      <c r="AU578" s="699">
        <f t="shared" si="223"/>
        <v>54869</v>
      </c>
      <c r="AV578" s="695">
        <f t="shared" si="218"/>
        <v>2286.2083333333335</v>
      </c>
      <c r="AW578" s="696">
        <f t="shared" si="224"/>
        <v>50931</v>
      </c>
      <c r="AX578" s="697">
        <f t="shared" si="225"/>
        <v>2122.125</v>
      </c>
      <c r="AY578" s="700">
        <f t="shared" si="234"/>
        <v>5386.9416666666666</v>
      </c>
      <c r="AZ578" s="697">
        <f t="shared" si="235"/>
        <v>5291.125</v>
      </c>
      <c r="BA578" s="680"/>
    </row>
    <row r="579" spans="1:53">
      <c r="A579" s="517" t="s">
        <v>279</v>
      </c>
      <c r="B579" s="290" t="s">
        <v>296</v>
      </c>
      <c r="C579" s="297">
        <v>228802</v>
      </c>
      <c r="D579" s="153">
        <v>3</v>
      </c>
      <c r="E579" s="148" t="s">
        <v>393</v>
      </c>
      <c r="F579" s="550" t="s">
        <v>393</v>
      </c>
      <c r="G579" s="679"/>
      <c r="H579" s="678"/>
      <c r="I579" s="679">
        <v>58962</v>
      </c>
      <c r="J579" s="678">
        <v>56899</v>
      </c>
      <c r="K579" s="679">
        <v>8235</v>
      </c>
      <c r="L579" s="678">
        <v>8163</v>
      </c>
      <c r="M579" s="679">
        <v>62715</v>
      </c>
      <c r="N579" s="678">
        <v>61279</v>
      </c>
      <c r="O579" s="694">
        <f t="shared" si="226"/>
        <v>129912</v>
      </c>
      <c r="P579" s="695">
        <f t="shared" si="219"/>
        <v>4330.3999999999996</v>
      </c>
      <c r="Q579" s="696">
        <f t="shared" si="227"/>
        <v>126341</v>
      </c>
      <c r="R579" s="697">
        <f t="shared" si="220"/>
        <v>4211.3666666666668</v>
      </c>
      <c r="S579" s="679">
        <v>0</v>
      </c>
      <c r="T579" s="678">
        <v>0</v>
      </c>
      <c r="U579" s="694">
        <f t="shared" si="228"/>
        <v>129912</v>
      </c>
      <c r="V579" s="698">
        <f t="shared" si="229"/>
        <v>126341</v>
      </c>
      <c r="W579" s="679"/>
      <c r="X579" s="678"/>
      <c r="Y579" s="679"/>
      <c r="Z579" s="678"/>
      <c r="AA579" s="679"/>
      <c r="AB579" s="678"/>
      <c r="AC579" s="679"/>
      <c r="AD579" s="678"/>
      <c r="AE579" s="694">
        <f t="shared" si="230"/>
        <v>0</v>
      </c>
      <c r="AF579" s="695">
        <f t="shared" si="221"/>
        <v>0</v>
      </c>
      <c r="AG579" s="696">
        <f t="shared" si="231"/>
        <v>0</v>
      </c>
      <c r="AH579" s="697">
        <f t="shared" si="222"/>
        <v>0</v>
      </c>
      <c r="AI579" s="679"/>
      <c r="AJ579" s="678"/>
      <c r="AK579" s="694">
        <f t="shared" si="232"/>
        <v>0</v>
      </c>
      <c r="AL579" s="698">
        <f t="shared" si="233"/>
        <v>0</v>
      </c>
      <c r="AM579" s="679"/>
      <c r="AN579" s="678"/>
      <c r="AO579" s="679">
        <v>5378</v>
      </c>
      <c r="AP579" s="678">
        <v>5066</v>
      </c>
      <c r="AQ579" s="679">
        <v>2592</v>
      </c>
      <c r="AR579" s="678">
        <v>2180</v>
      </c>
      <c r="AS579" s="679">
        <v>5325</v>
      </c>
      <c r="AT579" s="678">
        <v>6061</v>
      </c>
      <c r="AU579" s="699">
        <f t="shared" si="223"/>
        <v>13295</v>
      </c>
      <c r="AV579" s="695">
        <f t="shared" si="218"/>
        <v>553.95833333333337</v>
      </c>
      <c r="AW579" s="696">
        <f t="shared" si="224"/>
        <v>13307</v>
      </c>
      <c r="AX579" s="697">
        <f t="shared" si="225"/>
        <v>554.45833333333337</v>
      </c>
      <c r="AY579" s="700">
        <f t="shared" si="234"/>
        <v>4884.3583333333327</v>
      </c>
      <c r="AZ579" s="697">
        <f t="shared" si="235"/>
        <v>4765.8249999999998</v>
      </c>
      <c r="BA579" s="680"/>
    </row>
    <row r="580" spans="1:53">
      <c r="A580" s="517" t="s">
        <v>279</v>
      </c>
      <c r="B580" s="290" t="s">
        <v>297</v>
      </c>
      <c r="C580" s="297">
        <v>227368</v>
      </c>
      <c r="D580" s="153">
        <v>3</v>
      </c>
      <c r="E580" s="148" t="s">
        <v>393</v>
      </c>
      <c r="F580" s="550" t="s">
        <v>393</v>
      </c>
      <c r="G580" s="679"/>
      <c r="H580" s="678"/>
      <c r="I580" s="679">
        <v>165673</v>
      </c>
      <c r="J580" s="678">
        <v>167688</v>
      </c>
      <c r="K580" s="679">
        <v>64108</v>
      </c>
      <c r="L580" s="678">
        <v>62155</v>
      </c>
      <c r="M580" s="679">
        <v>178269</v>
      </c>
      <c r="N580" s="678">
        <v>188585</v>
      </c>
      <c r="O580" s="694">
        <f t="shared" si="226"/>
        <v>408050</v>
      </c>
      <c r="P580" s="695">
        <f t="shared" si="219"/>
        <v>13601.666666666666</v>
      </c>
      <c r="Q580" s="696">
        <f t="shared" si="227"/>
        <v>418428</v>
      </c>
      <c r="R580" s="697">
        <f t="shared" si="220"/>
        <v>13947.6</v>
      </c>
      <c r="S580" s="679">
        <v>1243</v>
      </c>
      <c r="T580" s="678">
        <v>3335</v>
      </c>
      <c r="U580" s="694">
        <f t="shared" si="228"/>
        <v>408050</v>
      </c>
      <c r="V580" s="698">
        <f t="shared" si="229"/>
        <v>418428</v>
      </c>
      <c r="W580" s="679"/>
      <c r="X580" s="678"/>
      <c r="Y580" s="679"/>
      <c r="Z580" s="678"/>
      <c r="AA580" s="679"/>
      <c r="AB580" s="678"/>
      <c r="AC580" s="679"/>
      <c r="AD580" s="678"/>
      <c r="AE580" s="694">
        <f t="shared" si="230"/>
        <v>0</v>
      </c>
      <c r="AF580" s="695">
        <f t="shared" si="221"/>
        <v>0</v>
      </c>
      <c r="AG580" s="696">
        <f t="shared" si="231"/>
        <v>0</v>
      </c>
      <c r="AH580" s="697">
        <f t="shared" si="222"/>
        <v>0</v>
      </c>
      <c r="AI580" s="679"/>
      <c r="AJ580" s="678"/>
      <c r="AK580" s="694">
        <f t="shared" si="232"/>
        <v>0</v>
      </c>
      <c r="AL580" s="698">
        <f t="shared" si="233"/>
        <v>0</v>
      </c>
      <c r="AM580" s="679"/>
      <c r="AN580" s="678"/>
      <c r="AO580" s="679">
        <v>13500</v>
      </c>
      <c r="AP580" s="678">
        <v>14709</v>
      </c>
      <c r="AQ580" s="679">
        <v>8186</v>
      </c>
      <c r="AR580" s="678">
        <v>8337</v>
      </c>
      <c r="AS580" s="679">
        <v>14753</v>
      </c>
      <c r="AT580" s="678">
        <v>16391</v>
      </c>
      <c r="AU580" s="699">
        <f t="shared" si="223"/>
        <v>36439</v>
      </c>
      <c r="AV580" s="695">
        <f t="shared" ref="AV580:AV643" si="236">+AU580/24</f>
        <v>1518.2916666666667</v>
      </c>
      <c r="AW580" s="696">
        <f t="shared" si="224"/>
        <v>39437</v>
      </c>
      <c r="AX580" s="697">
        <f t="shared" si="225"/>
        <v>1643.2083333333333</v>
      </c>
      <c r="AY580" s="700">
        <f t="shared" si="234"/>
        <v>15119.958333333332</v>
      </c>
      <c r="AZ580" s="697">
        <f t="shared" si="235"/>
        <v>15590.808333333334</v>
      </c>
      <c r="BA580" s="680"/>
    </row>
    <row r="581" spans="1:53">
      <c r="A581" s="517" t="s">
        <v>279</v>
      </c>
      <c r="B581" s="290" t="s">
        <v>857</v>
      </c>
      <c r="C581" s="297">
        <v>229814</v>
      </c>
      <c r="D581" s="153">
        <v>3</v>
      </c>
      <c r="E581" s="148" t="s">
        <v>393</v>
      </c>
      <c r="F581" s="550" t="s">
        <v>393</v>
      </c>
      <c r="G581" s="679"/>
      <c r="H581" s="678"/>
      <c r="I581" s="679">
        <v>66314</v>
      </c>
      <c r="J581" s="678">
        <v>69025</v>
      </c>
      <c r="K581" s="679">
        <v>14575</v>
      </c>
      <c r="L581" s="678">
        <v>14083</v>
      </c>
      <c r="M581" s="679">
        <v>76044</v>
      </c>
      <c r="N581" s="678">
        <v>78972</v>
      </c>
      <c r="O581" s="694">
        <f t="shared" si="226"/>
        <v>156933</v>
      </c>
      <c r="P581" s="695">
        <f t="shared" si="219"/>
        <v>5231.1000000000004</v>
      </c>
      <c r="Q581" s="696">
        <f t="shared" si="227"/>
        <v>162080</v>
      </c>
      <c r="R581" s="697">
        <f t="shared" si="220"/>
        <v>5402.666666666667</v>
      </c>
      <c r="S581" s="679">
        <v>0</v>
      </c>
      <c r="T581" s="678">
        <v>0</v>
      </c>
      <c r="U581" s="694">
        <f t="shared" si="228"/>
        <v>156933</v>
      </c>
      <c r="V581" s="698">
        <f t="shared" si="229"/>
        <v>162080</v>
      </c>
      <c r="W581" s="679"/>
      <c r="X581" s="678"/>
      <c r="Y581" s="679"/>
      <c r="Z581" s="678"/>
      <c r="AA581" s="679"/>
      <c r="AB581" s="678"/>
      <c r="AC581" s="679"/>
      <c r="AD581" s="678"/>
      <c r="AE581" s="694">
        <f t="shared" si="230"/>
        <v>0</v>
      </c>
      <c r="AF581" s="695">
        <f t="shared" si="221"/>
        <v>0</v>
      </c>
      <c r="AG581" s="696">
        <f t="shared" si="231"/>
        <v>0</v>
      </c>
      <c r="AH581" s="697">
        <f t="shared" si="222"/>
        <v>0</v>
      </c>
      <c r="AI581" s="679"/>
      <c r="AJ581" s="678"/>
      <c r="AK581" s="694">
        <f t="shared" si="232"/>
        <v>0</v>
      </c>
      <c r="AL581" s="698">
        <f t="shared" si="233"/>
        <v>0</v>
      </c>
      <c r="AM581" s="679"/>
      <c r="AN581" s="678"/>
      <c r="AO581" s="679">
        <v>7929</v>
      </c>
      <c r="AP581" s="678">
        <v>6956</v>
      </c>
      <c r="AQ581" s="679">
        <v>5339</v>
      </c>
      <c r="AR581" s="678">
        <v>5725</v>
      </c>
      <c r="AS581" s="679">
        <v>7086</v>
      </c>
      <c r="AT581" s="678">
        <v>7714</v>
      </c>
      <c r="AU581" s="699">
        <f t="shared" si="223"/>
        <v>20354</v>
      </c>
      <c r="AV581" s="695">
        <f t="shared" si="236"/>
        <v>848.08333333333337</v>
      </c>
      <c r="AW581" s="696">
        <f t="shared" si="224"/>
        <v>20395</v>
      </c>
      <c r="AX581" s="697">
        <f t="shared" si="225"/>
        <v>849.79166666666663</v>
      </c>
      <c r="AY581" s="700">
        <f t="shared" si="234"/>
        <v>6079.1833333333334</v>
      </c>
      <c r="AZ581" s="697">
        <f t="shared" si="235"/>
        <v>6252.4583333333339</v>
      </c>
      <c r="BA581" s="680"/>
    </row>
    <row r="582" spans="1:53">
      <c r="A582" s="517" t="s">
        <v>279</v>
      </c>
      <c r="B582" s="290" t="s">
        <v>858</v>
      </c>
      <c r="C582" s="297">
        <v>224545</v>
      </c>
      <c r="D582" s="153">
        <v>4</v>
      </c>
      <c r="E582" s="148" t="s">
        <v>393</v>
      </c>
      <c r="F582" s="550" t="s">
        <v>393</v>
      </c>
      <c r="G582" s="679"/>
      <c r="H582" s="678"/>
      <c r="I582" s="679">
        <v>9954</v>
      </c>
      <c r="J582" s="678">
        <v>10711</v>
      </c>
      <c r="K582" s="679">
        <v>3270</v>
      </c>
      <c r="L582" s="678">
        <v>3156</v>
      </c>
      <c r="M582" s="679">
        <v>9655</v>
      </c>
      <c r="N582" s="678">
        <v>10419</v>
      </c>
      <c r="O582" s="694">
        <f t="shared" si="226"/>
        <v>22879</v>
      </c>
      <c r="P582" s="695">
        <f t="shared" si="219"/>
        <v>762.63333333333333</v>
      </c>
      <c r="Q582" s="696">
        <f t="shared" si="227"/>
        <v>24286</v>
      </c>
      <c r="R582" s="697">
        <f t="shared" si="220"/>
        <v>809.5333333333333</v>
      </c>
      <c r="S582" s="679">
        <v>30</v>
      </c>
      <c r="T582" s="678">
        <v>24</v>
      </c>
      <c r="U582" s="694">
        <f t="shared" si="228"/>
        <v>22879</v>
      </c>
      <c r="V582" s="698">
        <f t="shared" si="229"/>
        <v>24286</v>
      </c>
      <c r="W582" s="679"/>
      <c r="X582" s="678"/>
      <c r="Y582" s="679"/>
      <c r="Z582" s="678"/>
      <c r="AA582" s="679"/>
      <c r="AB582" s="678"/>
      <c r="AC582" s="679"/>
      <c r="AD582" s="678"/>
      <c r="AE582" s="694">
        <f t="shared" si="230"/>
        <v>0</v>
      </c>
      <c r="AF582" s="695">
        <f t="shared" si="221"/>
        <v>0</v>
      </c>
      <c r="AG582" s="696">
        <f t="shared" si="231"/>
        <v>0</v>
      </c>
      <c r="AH582" s="697">
        <f t="shared" si="222"/>
        <v>0</v>
      </c>
      <c r="AI582" s="679"/>
      <c r="AJ582" s="678"/>
      <c r="AK582" s="694">
        <f t="shared" si="232"/>
        <v>0</v>
      </c>
      <c r="AL582" s="698">
        <f t="shared" si="233"/>
        <v>0</v>
      </c>
      <c r="AM582" s="679"/>
      <c r="AN582" s="678"/>
      <c r="AO582" s="679">
        <v>3344</v>
      </c>
      <c r="AP582" s="678">
        <v>3653</v>
      </c>
      <c r="AQ582" s="679">
        <v>3348</v>
      </c>
      <c r="AR582" s="678">
        <v>2851</v>
      </c>
      <c r="AS582" s="679">
        <v>2567</v>
      </c>
      <c r="AT582" s="678">
        <v>2568</v>
      </c>
      <c r="AU582" s="699">
        <f t="shared" si="223"/>
        <v>9259</v>
      </c>
      <c r="AV582" s="695">
        <f t="shared" si="236"/>
        <v>385.79166666666669</v>
      </c>
      <c r="AW582" s="696">
        <f t="shared" si="224"/>
        <v>9072</v>
      </c>
      <c r="AX582" s="697">
        <f t="shared" si="225"/>
        <v>378</v>
      </c>
      <c r="AY582" s="700">
        <f t="shared" si="234"/>
        <v>1148.425</v>
      </c>
      <c r="AZ582" s="697">
        <f t="shared" si="235"/>
        <v>1187.5333333333333</v>
      </c>
      <c r="BA582" s="680"/>
    </row>
    <row r="583" spans="1:53">
      <c r="A583" s="517" t="s">
        <v>279</v>
      </c>
      <c r="B583" s="518" t="s">
        <v>303</v>
      </c>
      <c r="C583" s="519">
        <v>225502</v>
      </c>
      <c r="D583" s="476">
        <v>4</v>
      </c>
      <c r="E583" s="148" t="s">
        <v>393</v>
      </c>
      <c r="F583" s="550" t="s">
        <v>393</v>
      </c>
      <c r="G583" s="679"/>
      <c r="H583" s="678"/>
      <c r="I583" s="679">
        <v>13297</v>
      </c>
      <c r="J583" s="678">
        <v>15978</v>
      </c>
      <c r="K583" s="679">
        <v>6672</v>
      </c>
      <c r="L583" s="678">
        <v>7743</v>
      </c>
      <c r="M583" s="679">
        <v>14927</v>
      </c>
      <c r="N583" s="678">
        <v>17037</v>
      </c>
      <c r="O583" s="694">
        <f t="shared" si="226"/>
        <v>34896</v>
      </c>
      <c r="P583" s="695">
        <f t="shared" si="219"/>
        <v>1163.2</v>
      </c>
      <c r="Q583" s="696">
        <f t="shared" si="227"/>
        <v>40758</v>
      </c>
      <c r="R583" s="697">
        <f t="shared" si="220"/>
        <v>1358.6</v>
      </c>
      <c r="S583" s="679">
        <v>0</v>
      </c>
      <c r="T583" s="678">
        <v>0</v>
      </c>
      <c r="U583" s="694">
        <f t="shared" si="228"/>
        <v>34896</v>
      </c>
      <c r="V583" s="698">
        <f t="shared" si="229"/>
        <v>40758</v>
      </c>
      <c r="W583" s="679"/>
      <c r="X583" s="678"/>
      <c r="Y583" s="679"/>
      <c r="Z583" s="678"/>
      <c r="AA583" s="679"/>
      <c r="AB583" s="678"/>
      <c r="AC583" s="679"/>
      <c r="AD583" s="678"/>
      <c r="AE583" s="694">
        <f t="shared" si="230"/>
        <v>0</v>
      </c>
      <c r="AF583" s="695">
        <f t="shared" si="221"/>
        <v>0</v>
      </c>
      <c r="AG583" s="696">
        <f t="shared" si="231"/>
        <v>0</v>
      </c>
      <c r="AH583" s="697">
        <f t="shared" si="222"/>
        <v>0</v>
      </c>
      <c r="AI583" s="679"/>
      <c r="AJ583" s="678"/>
      <c r="AK583" s="694">
        <f t="shared" si="232"/>
        <v>0</v>
      </c>
      <c r="AL583" s="698">
        <f t="shared" si="233"/>
        <v>0</v>
      </c>
      <c r="AM583" s="679"/>
      <c r="AN583" s="678"/>
      <c r="AO583" s="679">
        <v>8080</v>
      </c>
      <c r="AP583" s="678">
        <v>8893</v>
      </c>
      <c r="AQ583" s="679">
        <v>5641</v>
      </c>
      <c r="AR583" s="678">
        <v>5493</v>
      </c>
      <c r="AS583" s="679">
        <v>8820</v>
      </c>
      <c r="AT583" s="678">
        <v>10683</v>
      </c>
      <c r="AU583" s="699">
        <f t="shared" si="223"/>
        <v>22541</v>
      </c>
      <c r="AV583" s="695">
        <f t="shared" si="236"/>
        <v>939.20833333333337</v>
      </c>
      <c r="AW583" s="696">
        <f t="shared" si="224"/>
        <v>25069</v>
      </c>
      <c r="AX583" s="697">
        <f t="shared" si="225"/>
        <v>1044.5416666666667</v>
      </c>
      <c r="AY583" s="700">
        <f t="shared" si="234"/>
        <v>2102.4083333333333</v>
      </c>
      <c r="AZ583" s="697">
        <f t="shared" si="235"/>
        <v>2403.1416666666664</v>
      </c>
      <c r="BA583" s="680"/>
    </row>
    <row r="584" spans="1:53">
      <c r="A584" s="517" t="s">
        <v>279</v>
      </c>
      <c r="B584" s="290" t="s">
        <v>298</v>
      </c>
      <c r="C584" s="297">
        <v>227377</v>
      </c>
      <c r="D584" s="153">
        <v>4</v>
      </c>
      <c r="E584" s="148" t="s">
        <v>393</v>
      </c>
      <c r="F584" s="550" t="s">
        <v>393</v>
      </c>
      <c r="G584" s="679"/>
      <c r="H584" s="678"/>
      <c r="I584" s="679">
        <v>32439</v>
      </c>
      <c r="J584" s="678">
        <v>34170</v>
      </c>
      <c r="K584" s="679">
        <v>11934</v>
      </c>
      <c r="L584" s="678">
        <v>10783</v>
      </c>
      <c r="M584" s="679">
        <v>42786</v>
      </c>
      <c r="N584" s="678">
        <v>44844</v>
      </c>
      <c r="O584" s="694">
        <f t="shared" si="226"/>
        <v>87159</v>
      </c>
      <c r="P584" s="695">
        <f t="shared" si="219"/>
        <v>2905.3</v>
      </c>
      <c r="Q584" s="696">
        <f t="shared" si="227"/>
        <v>89797</v>
      </c>
      <c r="R584" s="697">
        <f t="shared" si="220"/>
        <v>2993.2333333333331</v>
      </c>
      <c r="S584" s="679">
        <v>8030</v>
      </c>
      <c r="T584" s="678">
        <v>7904</v>
      </c>
      <c r="U584" s="694">
        <f t="shared" si="228"/>
        <v>87159</v>
      </c>
      <c r="V584" s="698">
        <f t="shared" si="229"/>
        <v>89797</v>
      </c>
      <c r="W584" s="679"/>
      <c r="X584" s="678"/>
      <c r="Y584" s="679"/>
      <c r="Z584" s="678"/>
      <c r="AA584" s="679"/>
      <c r="AB584" s="678"/>
      <c r="AC584" s="679"/>
      <c r="AD584" s="678"/>
      <c r="AE584" s="694">
        <f t="shared" si="230"/>
        <v>0</v>
      </c>
      <c r="AF584" s="695">
        <f t="shared" si="221"/>
        <v>0</v>
      </c>
      <c r="AG584" s="696">
        <f t="shared" si="231"/>
        <v>0</v>
      </c>
      <c r="AH584" s="697">
        <f t="shared" si="222"/>
        <v>0</v>
      </c>
      <c r="AI584" s="679"/>
      <c r="AJ584" s="678"/>
      <c r="AK584" s="694">
        <f t="shared" si="232"/>
        <v>0</v>
      </c>
      <c r="AL584" s="698">
        <f t="shared" si="233"/>
        <v>0</v>
      </c>
      <c r="AM584" s="679"/>
      <c r="AN584" s="678"/>
      <c r="AO584" s="679">
        <v>3922</v>
      </c>
      <c r="AP584" s="678">
        <v>4081</v>
      </c>
      <c r="AQ584" s="679">
        <v>2589</v>
      </c>
      <c r="AR584" s="678">
        <v>2779</v>
      </c>
      <c r="AS584" s="679">
        <v>4252</v>
      </c>
      <c r="AT584" s="678">
        <v>4851</v>
      </c>
      <c r="AU584" s="699">
        <f t="shared" si="223"/>
        <v>10763</v>
      </c>
      <c r="AV584" s="695">
        <f t="shared" si="236"/>
        <v>448.45833333333331</v>
      </c>
      <c r="AW584" s="696">
        <f t="shared" si="224"/>
        <v>11711</v>
      </c>
      <c r="AX584" s="697">
        <f t="shared" si="225"/>
        <v>487.95833333333331</v>
      </c>
      <c r="AY584" s="700">
        <f t="shared" si="234"/>
        <v>3353.7583333333337</v>
      </c>
      <c r="AZ584" s="697">
        <f t="shared" si="235"/>
        <v>3481.1916666666666</v>
      </c>
      <c r="BA584" s="680"/>
    </row>
    <row r="585" spans="1:53">
      <c r="A585" s="517" t="s">
        <v>279</v>
      </c>
      <c r="B585" s="290" t="s">
        <v>299</v>
      </c>
      <c r="C585" s="297">
        <v>229018</v>
      </c>
      <c r="D585" s="153">
        <v>4</v>
      </c>
      <c r="E585" s="148" t="s">
        <v>393</v>
      </c>
      <c r="F585" s="550" t="s">
        <v>393</v>
      </c>
      <c r="G585" s="679"/>
      <c r="H585" s="678"/>
      <c r="I585" s="679">
        <v>30336</v>
      </c>
      <c r="J585" s="678">
        <v>28864</v>
      </c>
      <c r="K585" s="679">
        <v>7182</v>
      </c>
      <c r="L585" s="678">
        <v>6498</v>
      </c>
      <c r="M585" s="679">
        <v>30782</v>
      </c>
      <c r="N585" s="678">
        <v>32394</v>
      </c>
      <c r="O585" s="694">
        <f t="shared" si="226"/>
        <v>68300</v>
      </c>
      <c r="P585" s="695">
        <f t="shared" si="219"/>
        <v>2276.6666666666665</v>
      </c>
      <c r="Q585" s="696">
        <f t="shared" si="227"/>
        <v>67756</v>
      </c>
      <c r="R585" s="697">
        <f t="shared" si="220"/>
        <v>2258.5333333333333</v>
      </c>
      <c r="S585" s="679">
        <v>74</v>
      </c>
      <c r="T585" s="678">
        <v>343</v>
      </c>
      <c r="U585" s="694">
        <f t="shared" si="228"/>
        <v>68300</v>
      </c>
      <c r="V585" s="698">
        <f t="shared" si="229"/>
        <v>67756</v>
      </c>
      <c r="W585" s="679"/>
      <c r="X585" s="678"/>
      <c r="Y585" s="679"/>
      <c r="Z585" s="678"/>
      <c r="AA585" s="679"/>
      <c r="AB585" s="678"/>
      <c r="AC585" s="679"/>
      <c r="AD585" s="678"/>
      <c r="AE585" s="694">
        <f t="shared" si="230"/>
        <v>0</v>
      </c>
      <c r="AF585" s="695">
        <f t="shared" si="221"/>
        <v>0</v>
      </c>
      <c r="AG585" s="696">
        <f t="shared" si="231"/>
        <v>0</v>
      </c>
      <c r="AH585" s="697">
        <f t="shared" si="222"/>
        <v>0</v>
      </c>
      <c r="AI585" s="679"/>
      <c r="AJ585" s="678"/>
      <c r="AK585" s="694">
        <f t="shared" si="232"/>
        <v>0</v>
      </c>
      <c r="AL585" s="698">
        <f t="shared" si="233"/>
        <v>0</v>
      </c>
      <c r="AM585" s="679"/>
      <c r="AN585" s="678"/>
      <c r="AO585" s="679">
        <v>3234</v>
      </c>
      <c r="AP585" s="678">
        <v>3802</v>
      </c>
      <c r="AQ585" s="679">
        <v>2376</v>
      </c>
      <c r="AR585" s="678">
        <v>2736</v>
      </c>
      <c r="AS585" s="679">
        <v>4137</v>
      </c>
      <c r="AT585" s="678">
        <v>3654</v>
      </c>
      <c r="AU585" s="699">
        <f t="shared" si="223"/>
        <v>9747</v>
      </c>
      <c r="AV585" s="695">
        <f t="shared" si="236"/>
        <v>406.125</v>
      </c>
      <c r="AW585" s="696">
        <f t="shared" si="224"/>
        <v>10192</v>
      </c>
      <c r="AX585" s="697">
        <f t="shared" si="225"/>
        <v>424.66666666666669</v>
      </c>
      <c r="AY585" s="700">
        <f t="shared" si="234"/>
        <v>2682.7916666666665</v>
      </c>
      <c r="AZ585" s="697">
        <f t="shared" si="235"/>
        <v>2683.2</v>
      </c>
      <c r="BA585" s="680"/>
    </row>
    <row r="586" spans="1:53">
      <c r="A586" s="517" t="s">
        <v>279</v>
      </c>
      <c r="B586" s="290" t="s">
        <v>300</v>
      </c>
      <c r="C586" s="297" t="s">
        <v>301</v>
      </c>
      <c r="D586" s="153">
        <v>5</v>
      </c>
      <c r="E586" s="148" t="s">
        <v>393</v>
      </c>
      <c r="F586" s="550" t="s">
        <v>393</v>
      </c>
      <c r="G586" s="679"/>
      <c r="H586" s="678"/>
      <c r="I586" s="679">
        <v>6054</v>
      </c>
      <c r="J586" s="678">
        <v>6255</v>
      </c>
      <c r="K586" s="679">
        <v>3546</v>
      </c>
      <c r="L586" s="678">
        <v>3486</v>
      </c>
      <c r="M586" s="679">
        <v>6116</v>
      </c>
      <c r="N586" s="678">
        <v>6245</v>
      </c>
      <c r="O586" s="694">
        <f t="shared" si="226"/>
        <v>15716</v>
      </c>
      <c r="P586" s="695">
        <f t="shared" si="219"/>
        <v>523.86666666666667</v>
      </c>
      <c r="Q586" s="696">
        <f t="shared" si="227"/>
        <v>15986</v>
      </c>
      <c r="R586" s="697">
        <f t="shared" si="220"/>
        <v>532.86666666666667</v>
      </c>
      <c r="S586" s="679">
        <v>0</v>
      </c>
      <c r="T586" s="678">
        <v>0</v>
      </c>
      <c r="U586" s="694">
        <f t="shared" si="228"/>
        <v>15716</v>
      </c>
      <c r="V586" s="698">
        <f t="shared" si="229"/>
        <v>15986</v>
      </c>
      <c r="W586" s="679"/>
      <c r="X586" s="678"/>
      <c r="Y586" s="679"/>
      <c r="Z586" s="678"/>
      <c r="AA586" s="679"/>
      <c r="AB586" s="678"/>
      <c r="AC586" s="679"/>
      <c r="AD586" s="678"/>
      <c r="AE586" s="694">
        <f t="shared" si="230"/>
        <v>0</v>
      </c>
      <c r="AF586" s="695">
        <f t="shared" si="221"/>
        <v>0</v>
      </c>
      <c r="AG586" s="696">
        <f t="shared" si="231"/>
        <v>0</v>
      </c>
      <c r="AH586" s="697">
        <f t="shared" si="222"/>
        <v>0</v>
      </c>
      <c r="AI586" s="679"/>
      <c r="AJ586" s="678"/>
      <c r="AK586" s="694">
        <f t="shared" si="232"/>
        <v>0</v>
      </c>
      <c r="AL586" s="698">
        <f t="shared" si="233"/>
        <v>0</v>
      </c>
      <c r="AM586" s="679"/>
      <c r="AN586" s="678"/>
      <c r="AO586" s="679">
        <v>1035</v>
      </c>
      <c r="AP586" s="678">
        <v>1140</v>
      </c>
      <c r="AQ586" s="679">
        <v>870</v>
      </c>
      <c r="AR586" s="678">
        <v>849</v>
      </c>
      <c r="AS586" s="679">
        <v>1002</v>
      </c>
      <c r="AT586" s="678">
        <v>1317</v>
      </c>
      <c r="AU586" s="699">
        <f t="shared" si="223"/>
        <v>2907</v>
      </c>
      <c r="AV586" s="695">
        <f t="shared" si="236"/>
        <v>121.125</v>
      </c>
      <c r="AW586" s="696">
        <f t="shared" si="224"/>
        <v>3306</v>
      </c>
      <c r="AX586" s="697">
        <f t="shared" si="225"/>
        <v>137.75</v>
      </c>
      <c r="AY586" s="700">
        <f t="shared" si="234"/>
        <v>644.99166666666667</v>
      </c>
      <c r="AZ586" s="697">
        <f t="shared" si="235"/>
        <v>670.61666666666667</v>
      </c>
      <c r="BA586" s="680"/>
    </row>
    <row r="587" spans="1:53">
      <c r="A587" s="517" t="s">
        <v>279</v>
      </c>
      <c r="B587" s="290" t="s">
        <v>302</v>
      </c>
      <c r="C587" s="297">
        <v>225432</v>
      </c>
      <c r="D587" s="153">
        <v>5</v>
      </c>
      <c r="E587" s="148" t="s">
        <v>393</v>
      </c>
      <c r="F587" s="550" t="s">
        <v>393</v>
      </c>
      <c r="G587" s="679"/>
      <c r="H587" s="678"/>
      <c r="I587" s="679">
        <v>108428</v>
      </c>
      <c r="J587" s="678">
        <v>108923</v>
      </c>
      <c r="K587" s="679">
        <v>31783</v>
      </c>
      <c r="L587" s="678">
        <v>32120</v>
      </c>
      <c r="M587" s="679">
        <v>114984</v>
      </c>
      <c r="N587" s="678">
        <v>119454</v>
      </c>
      <c r="O587" s="694">
        <f t="shared" si="226"/>
        <v>255195</v>
      </c>
      <c r="P587" s="695">
        <f t="shared" si="219"/>
        <v>8506.5</v>
      </c>
      <c r="Q587" s="696">
        <f t="shared" si="227"/>
        <v>260497</v>
      </c>
      <c r="R587" s="697">
        <f t="shared" si="220"/>
        <v>8683.2333333333336</v>
      </c>
      <c r="S587" s="679">
        <v>147</v>
      </c>
      <c r="T587" s="678">
        <v>324</v>
      </c>
      <c r="U587" s="694">
        <f t="shared" si="228"/>
        <v>255195</v>
      </c>
      <c r="V587" s="698">
        <f t="shared" si="229"/>
        <v>260497</v>
      </c>
      <c r="W587" s="679"/>
      <c r="X587" s="678"/>
      <c r="Y587" s="679"/>
      <c r="Z587" s="678"/>
      <c r="AA587" s="679"/>
      <c r="AB587" s="678"/>
      <c r="AC587" s="679"/>
      <c r="AD587" s="678"/>
      <c r="AE587" s="694">
        <f t="shared" si="230"/>
        <v>0</v>
      </c>
      <c r="AF587" s="695">
        <f t="shared" si="221"/>
        <v>0</v>
      </c>
      <c r="AG587" s="696">
        <f t="shared" si="231"/>
        <v>0</v>
      </c>
      <c r="AH587" s="697">
        <f t="shared" si="222"/>
        <v>0</v>
      </c>
      <c r="AI587" s="679"/>
      <c r="AJ587" s="678"/>
      <c r="AK587" s="694">
        <f t="shared" si="232"/>
        <v>0</v>
      </c>
      <c r="AL587" s="698">
        <f t="shared" si="233"/>
        <v>0</v>
      </c>
      <c r="AM587" s="679"/>
      <c r="AN587" s="678"/>
      <c r="AO587" s="679">
        <v>798</v>
      </c>
      <c r="AP587" s="678">
        <v>813</v>
      </c>
      <c r="AQ587" s="679">
        <v>402</v>
      </c>
      <c r="AR587" s="678">
        <v>471</v>
      </c>
      <c r="AS587" s="679">
        <v>843</v>
      </c>
      <c r="AT587" s="678">
        <v>900</v>
      </c>
      <c r="AU587" s="699">
        <f t="shared" si="223"/>
        <v>2043</v>
      </c>
      <c r="AV587" s="695">
        <f t="shared" si="236"/>
        <v>85.125</v>
      </c>
      <c r="AW587" s="696">
        <f t="shared" si="224"/>
        <v>2184</v>
      </c>
      <c r="AX587" s="697">
        <f t="shared" si="225"/>
        <v>91</v>
      </c>
      <c r="AY587" s="700">
        <f t="shared" si="234"/>
        <v>8591.625</v>
      </c>
      <c r="AZ587" s="697">
        <f t="shared" si="235"/>
        <v>8774.2333333333336</v>
      </c>
      <c r="BA587" s="680"/>
    </row>
    <row r="588" spans="1:53">
      <c r="A588" s="517" t="s">
        <v>279</v>
      </c>
      <c r="B588" s="290" t="s">
        <v>859</v>
      </c>
      <c r="C588" s="297">
        <v>228714</v>
      </c>
      <c r="D588" s="153">
        <v>6</v>
      </c>
      <c r="E588" s="148" t="s">
        <v>393</v>
      </c>
      <c r="F588" s="550" t="s">
        <v>393</v>
      </c>
      <c r="G588" s="679"/>
      <c r="H588" s="678"/>
      <c r="I588" s="679">
        <v>19567</v>
      </c>
      <c r="J588" s="678">
        <v>21528</v>
      </c>
      <c r="K588" s="679">
        <v>3580</v>
      </c>
      <c r="L588" s="678">
        <v>3561</v>
      </c>
      <c r="M588" s="679">
        <v>21334</v>
      </c>
      <c r="N588" s="678">
        <v>23988</v>
      </c>
      <c r="O588" s="694">
        <f t="shared" si="226"/>
        <v>44481</v>
      </c>
      <c r="P588" s="695">
        <f t="shared" si="219"/>
        <v>1482.7</v>
      </c>
      <c r="Q588" s="696">
        <f t="shared" si="227"/>
        <v>49077</v>
      </c>
      <c r="R588" s="697">
        <f t="shared" si="220"/>
        <v>1635.9</v>
      </c>
      <c r="S588" s="679">
        <v>0</v>
      </c>
      <c r="T588" s="678">
        <v>0</v>
      </c>
      <c r="U588" s="694">
        <f t="shared" si="228"/>
        <v>44481</v>
      </c>
      <c r="V588" s="698">
        <f t="shared" si="229"/>
        <v>49077</v>
      </c>
      <c r="W588" s="679"/>
      <c r="X588" s="678"/>
      <c r="Y588" s="679"/>
      <c r="Z588" s="678"/>
      <c r="AA588" s="679"/>
      <c r="AB588" s="678"/>
      <c r="AC588" s="679"/>
      <c r="AD588" s="678"/>
      <c r="AE588" s="694">
        <f t="shared" si="230"/>
        <v>0</v>
      </c>
      <c r="AF588" s="695">
        <f t="shared" si="221"/>
        <v>0</v>
      </c>
      <c r="AG588" s="696">
        <f t="shared" si="231"/>
        <v>0</v>
      </c>
      <c r="AH588" s="697">
        <f t="shared" si="222"/>
        <v>0</v>
      </c>
      <c r="AI588" s="679"/>
      <c r="AJ588" s="678"/>
      <c r="AK588" s="694">
        <f t="shared" si="232"/>
        <v>0</v>
      </c>
      <c r="AL588" s="698">
        <f t="shared" si="233"/>
        <v>0</v>
      </c>
      <c r="AM588" s="679"/>
      <c r="AN588" s="678"/>
      <c r="AO588" s="679">
        <v>294</v>
      </c>
      <c r="AP588" s="678">
        <v>311</v>
      </c>
      <c r="AQ588" s="679">
        <v>201</v>
      </c>
      <c r="AR588" s="678">
        <v>192</v>
      </c>
      <c r="AS588" s="679">
        <v>329</v>
      </c>
      <c r="AT588" s="678">
        <v>371</v>
      </c>
      <c r="AU588" s="699">
        <f t="shared" si="223"/>
        <v>824</v>
      </c>
      <c r="AV588" s="695">
        <f t="shared" si="236"/>
        <v>34.333333333333336</v>
      </c>
      <c r="AW588" s="696">
        <f t="shared" si="224"/>
        <v>874</v>
      </c>
      <c r="AX588" s="697">
        <f t="shared" si="225"/>
        <v>36.416666666666664</v>
      </c>
      <c r="AY588" s="700">
        <f t="shared" si="234"/>
        <v>1517.0333333333333</v>
      </c>
      <c r="AZ588" s="697">
        <f t="shared" si="235"/>
        <v>1672.3166666666668</v>
      </c>
      <c r="BA588" s="680"/>
    </row>
    <row r="589" spans="1:53">
      <c r="A589" s="517" t="s">
        <v>279</v>
      </c>
      <c r="B589" s="552" t="s">
        <v>330</v>
      </c>
      <c r="C589" s="519">
        <v>223506</v>
      </c>
      <c r="D589" s="476">
        <v>7</v>
      </c>
      <c r="E589" s="148" t="s">
        <v>393</v>
      </c>
      <c r="F589" s="550" t="s">
        <v>393</v>
      </c>
      <c r="G589" s="679">
        <v>26750</v>
      </c>
      <c r="H589" s="678">
        <v>27137</v>
      </c>
      <c r="I589" s="679">
        <v>7989</v>
      </c>
      <c r="J589" s="678">
        <v>8465</v>
      </c>
      <c r="K589" s="679">
        <v>2843</v>
      </c>
      <c r="L589" s="678">
        <v>2847</v>
      </c>
      <c r="M589" s="679">
        <v>30430</v>
      </c>
      <c r="N589" s="678">
        <v>31413</v>
      </c>
      <c r="O589" s="694">
        <f t="shared" si="226"/>
        <v>68012</v>
      </c>
      <c r="P589" s="695">
        <f t="shared" si="219"/>
        <v>2267.0666666666666</v>
      </c>
      <c r="Q589" s="696">
        <f t="shared" si="227"/>
        <v>69862</v>
      </c>
      <c r="R589" s="697">
        <f t="shared" si="220"/>
        <v>2328.7333333333331</v>
      </c>
      <c r="S589" s="679">
        <v>8672</v>
      </c>
      <c r="T589" s="678">
        <v>10080</v>
      </c>
      <c r="U589" s="694">
        <f t="shared" si="228"/>
        <v>68012</v>
      </c>
      <c r="V589" s="698">
        <f t="shared" si="229"/>
        <v>69862</v>
      </c>
      <c r="W589" s="679">
        <v>10939</v>
      </c>
      <c r="X589" s="678">
        <v>8407</v>
      </c>
      <c r="Y589" s="679">
        <v>10808</v>
      </c>
      <c r="Z589" s="678">
        <v>14217</v>
      </c>
      <c r="AA589" s="679">
        <v>4362</v>
      </c>
      <c r="AB589" s="678">
        <v>7243</v>
      </c>
      <c r="AC589" s="679">
        <v>13431</v>
      </c>
      <c r="AD589" s="678">
        <v>17254</v>
      </c>
      <c r="AE589" s="694">
        <f t="shared" si="230"/>
        <v>39540</v>
      </c>
      <c r="AF589" s="695">
        <f t="shared" si="221"/>
        <v>43.93333333333333</v>
      </c>
      <c r="AG589" s="696">
        <f t="shared" si="231"/>
        <v>47121</v>
      </c>
      <c r="AH589" s="697">
        <f t="shared" si="222"/>
        <v>52.356666666666669</v>
      </c>
      <c r="AI589" s="679"/>
      <c r="AJ589" s="678"/>
      <c r="AK589" s="694">
        <f t="shared" si="232"/>
        <v>0</v>
      </c>
      <c r="AL589" s="698">
        <f t="shared" si="233"/>
        <v>0</v>
      </c>
      <c r="AM589" s="679"/>
      <c r="AN589" s="678"/>
      <c r="AO589" s="679"/>
      <c r="AP589" s="678"/>
      <c r="AQ589" s="679"/>
      <c r="AR589" s="678"/>
      <c r="AS589" s="679"/>
      <c r="AT589" s="678"/>
      <c r="AU589" s="699">
        <f t="shared" si="223"/>
        <v>0</v>
      </c>
      <c r="AV589" s="695">
        <f t="shared" si="236"/>
        <v>0</v>
      </c>
      <c r="AW589" s="696">
        <f t="shared" si="224"/>
        <v>0</v>
      </c>
      <c r="AX589" s="697">
        <f t="shared" si="225"/>
        <v>0</v>
      </c>
      <c r="AY589" s="700">
        <f t="shared" si="234"/>
        <v>2311</v>
      </c>
      <c r="AZ589" s="697">
        <f t="shared" si="235"/>
        <v>2381.0899999999997</v>
      </c>
      <c r="BA589" s="680"/>
    </row>
    <row r="590" spans="1:53">
      <c r="A590" s="517" t="s">
        <v>279</v>
      </c>
      <c r="B590" s="552" t="s">
        <v>343</v>
      </c>
      <c r="C590" s="519">
        <v>226806</v>
      </c>
      <c r="D590" s="476">
        <v>7</v>
      </c>
      <c r="E590" s="148" t="s">
        <v>393</v>
      </c>
      <c r="F590" s="550" t="s">
        <v>393</v>
      </c>
      <c r="G590" s="679">
        <v>46531</v>
      </c>
      <c r="H590" s="678">
        <v>46013</v>
      </c>
      <c r="I590" s="679">
        <v>9539</v>
      </c>
      <c r="J590" s="678">
        <v>10422</v>
      </c>
      <c r="K590" s="679">
        <v>9178</v>
      </c>
      <c r="L590" s="678">
        <v>9815</v>
      </c>
      <c r="M590" s="679">
        <v>46675</v>
      </c>
      <c r="N590" s="678">
        <v>49841</v>
      </c>
      <c r="O590" s="694">
        <f t="shared" si="226"/>
        <v>111923</v>
      </c>
      <c r="P590" s="695">
        <f t="shared" si="219"/>
        <v>3730.7666666666669</v>
      </c>
      <c r="Q590" s="696">
        <f t="shared" si="227"/>
        <v>116091</v>
      </c>
      <c r="R590" s="697">
        <f t="shared" si="220"/>
        <v>3869.7</v>
      </c>
      <c r="S590" s="679">
        <v>9865</v>
      </c>
      <c r="T590" s="678">
        <v>9253</v>
      </c>
      <c r="U590" s="694">
        <f t="shared" si="228"/>
        <v>111923</v>
      </c>
      <c r="V590" s="698">
        <f t="shared" si="229"/>
        <v>116091</v>
      </c>
      <c r="W590" s="679">
        <v>50419</v>
      </c>
      <c r="X590" s="678">
        <v>40613</v>
      </c>
      <c r="Y590" s="679">
        <v>48818</v>
      </c>
      <c r="Z590" s="678">
        <v>36364</v>
      </c>
      <c r="AA590" s="679">
        <v>30392</v>
      </c>
      <c r="AB590" s="678">
        <v>28146</v>
      </c>
      <c r="AC590" s="679">
        <v>51646</v>
      </c>
      <c r="AD590" s="678">
        <v>40390</v>
      </c>
      <c r="AE590" s="694">
        <f t="shared" si="230"/>
        <v>181275</v>
      </c>
      <c r="AF590" s="695">
        <f t="shared" si="221"/>
        <v>201.41666666666666</v>
      </c>
      <c r="AG590" s="696">
        <f t="shared" si="231"/>
        <v>145513</v>
      </c>
      <c r="AH590" s="697">
        <f t="shared" si="222"/>
        <v>161.68111111111111</v>
      </c>
      <c r="AI590" s="679"/>
      <c r="AJ590" s="678"/>
      <c r="AK590" s="694">
        <f t="shared" si="232"/>
        <v>0</v>
      </c>
      <c r="AL590" s="698">
        <f t="shared" si="233"/>
        <v>0</v>
      </c>
      <c r="AM590" s="679"/>
      <c r="AN590" s="678"/>
      <c r="AO590" s="679"/>
      <c r="AP590" s="678"/>
      <c r="AQ590" s="679"/>
      <c r="AR590" s="678"/>
      <c r="AS590" s="679"/>
      <c r="AT590" s="678"/>
      <c r="AU590" s="699">
        <f t="shared" si="223"/>
        <v>0</v>
      </c>
      <c r="AV590" s="695">
        <f t="shared" si="236"/>
        <v>0</v>
      </c>
      <c r="AW590" s="696">
        <f t="shared" si="224"/>
        <v>0</v>
      </c>
      <c r="AX590" s="697">
        <f t="shared" si="225"/>
        <v>0</v>
      </c>
      <c r="AY590" s="700">
        <f t="shared" si="234"/>
        <v>3932.1833333333334</v>
      </c>
      <c r="AZ590" s="697">
        <f t="shared" si="235"/>
        <v>4031.3811111111108</v>
      </c>
      <c r="BA590" s="680"/>
    </row>
    <row r="591" spans="1:53">
      <c r="A591" s="553" t="s">
        <v>279</v>
      </c>
      <c r="B591" s="552" t="s">
        <v>323</v>
      </c>
      <c r="C591" s="554">
        <v>409315</v>
      </c>
      <c r="D591" s="555">
        <v>7</v>
      </c>
      <c r="E591" s="148" t="s">
        <v>393</v>
      </c>
      <c r="F591" s="550" t="s">
        <v>393</v>
      </c>
      <c r="G591" s="679">
        <v>156853</v>
      </c>
      <c r="H591" s="678">
        <v>177124</v>
      </c>
      <c r="I591" s="679">
        <v>29231</v>
      </c>
      <c r="J591" s="678">
        <v>32353</v>
      </c>
      <c r="K591" s="679">
        <v>27719</v>
      </c>
      <c r="L591" s="678">
        <v>31122</v>
      </c>
      <c r="M591" s="679">
        <v>175464</v>
      </c>
      <c r="N591" s="678">
        <v>219438</v>
      </c>
      <c r="O591" s="694">
        <f t="shared" si="226"/>
        <v>389267</v>
      </c>
      <c r="P591" s="695">
        <f t="shared" ref="P591:P654" si="237">+O591/30</f>
        <v>12975.566666666668</v>
      </c>
      <c r="Q591" s="696">
        <f t="shared" si="227"/>
        <v>460037</v>
      </c>
      <c r="R591" s="697">
        <f t="shared" si="220"/>
        <v>15334.566666666668</v>
      </c>
      <c r="S591" s="679">
        <v>70739</v>
      </c>
      <c r="T591" s="678">
        <v>85589</v>
      </c>
      <c r="U591" s="694">
        <f t="shared" si="228"/>
        <v>389267</v>
      </c>
      <c r="V591" s="698">
        <f t="shared" si="229"/>
        <v>460037</v>
      </c>
      <c r="W591" s="679">
        <v>45454</v>
      </c>
      <c r="X591" s="678">
        <v>45896</v>
      </c>
      <c r="Y591" s="679">
        <v>39703</v>
      </c>
      <c r="Z591" s="678">
        <v>48272</v>
      </c>
      <c r="AA591" s="679">
        <v>43180</v>
      </c>
      <c r="AB591" s="678">
        <v>78603</v>
      </c>
      <c r="AC591" s="679">
        <v>40162</v>
      </c>
      <c r="AD591" s="678">
        <v>58609</v>
      </c>
      <c r="AE591" s="694">
        <f t="shared" si="230"/>
        <v>168499</v>
      </c>
      <c r="AF591" s="695">
        <f t="shared" si="221"/>
        <v>187.2211111111111</v>
      </c>
      <c r="AG591" s="696">
        <f t="shared" si="231"/>
        <v>231380</v>
      </c>
      <c r="AH591" s="697">
        <f t="shared" si="222"/>
        <v>257.0888888888889</v>
      </c>
      <c r="AI591" s="679"/>
      <c r="AJ591" s="678"/>
      <c r="AK591" s="694">
        <f t="shared" si="232"/>
        <v>0</v>
      </c>
      <c r="AL591" s="698">
        <f t="shared" si="233"/>
        <v>0</v>
      </c>
      <c r="AM591" s="679"/>
      <c r="AN591" s="678"/>
      <c r="AO591" s="679"/>
      <c r="AP591" s="678"/>
      <c r="AQ591" s="679"/>
      <c r="AR591" s="678"/>
      <c r="AS591" s="679"/>
      <c r="AT591" s="678"/>
      <c r="AU591" s="699">
        <f t="shared" si="223"/>
        <v>0</v>
      </c>
      <c r="AV591" s="695">
        <f t="shared" si="236"/>
        <v>0</v>
      </c>
      <c r="AW591" s="696">
        <f t="shared" si="224"/>
        <v>0</v>
      </c>
      <c r="AX591" s="697">
        <f t="shared" si="225"/>
        <v>0</v>
      </c>
      <c r="AY591" s="700">
        <f t="shared" si="234"/>
        <v>13162.787777777779</v>
      </c>
      <c r="AZ591" s="697">
        <f t="shared" si="235"/>
        <v>15591.655555555557</v>
      </c>
      <c r="BA591" s="680"/>
    </row>
    <row r="592" spans="1:53">
      <c r="A592" s="297" t="s">
        <v>279</v>
      </c>
      <c r="B592" s="290" t="s">
        <v>304</v>
      </c>
      <c r="C592" s="297">
        <v>222576</v>
      </c>
      <c r="D592" s="151">
        <v>8</v>
      </c>
      <c r="E592" s="148" t="s">
        <v>393</v>
      </c>
      <c r="F592" s="550" t="s">
        <v>393</v>
      </c>
      <c r="G592" s="679">
        <v>76133</v>
      </c>
      <c r="H592" s="678">
        <v>80338</v>
      </c>
      <c r="I592" s="679">
        <v>21146</v>
      </c>
      <c r="J592" s="678">
        <v>22810</v>
      </c>
      <c r="K592" s="679">
        <v>0</v>
      </c>
      <c r="L592" s="678">
        <v>0</v>
      </c>
      <c r="M592" s="679">
        <v>79391</v>
      </c>
      <c r="N592" s="678">
        <v>87101</v>
      </c>
      <c r="O592" s="694">
        <f t="shared" si="226"/>
        <v>176670</v>
      </c>
      <c r="P592" s="695">
        <f t="shared" si="237"/>
        <v>5889</v>
      </c>
      <c r="Q592" s="696">
        <f t="shared" si="227"/>
        <v>190249</v>
      </c>
      <c r="R592" s="697">
        <f t="shared" si="220"/>
        <v>6341.6333333333332</v>
      </c>
      <c r="S592" s="679">
        <v>20047</v>
      </c>
      <c r="T592" s="678">
        <v>19393</v>
      </c>
      <c r="U592" s="694">
        <f t="shared" si="228"/>
        <v>176670</v>
      </c>
      <c r="V592" s="698">
        <f t="shared" si="229"/>
        <v>190249</v>
      </c>
      <c r="W592" s="679">
        <v>150338</v>
      </c>
      <c r="X592" s="678">
        <v>126507</v>
      </c>
      <c r="Y592" s="679">
        <v>157428</v>
      </c>
      <c r="Z592" s="678">
        <v>139784</v>
      </c>
      <c r="AA592" s="679">
        <v>140291</v>
      </c>
      <c r="AB592" s="678">
        <v>125264</v>
      </c>
      <c r="AC592" s="679">
        <v>161765</v>
      </c>
      <c r="AD592" s="678">
        <v>148752</v>
      </c>
      <c r="AE592" s="694">
        <f t="shared" si="230"/>
        <v>609822</v>
      </c>
      <c r="AF592" s="695">
        <f t="shared" si="221"/>
        <v>677.58</v>
      </c>
      <c r="AG592" s="696">
        <f t="shared" si="231"/>
        <v>540307</v>
      </c>
      <c r="AH592" s="697">
        <f t="shared" si="222"/>
        <v>600.3411111111111</v>
      </c>
      <c r="AI592" s="679"/>
      <c r="AJ592" s="678"/>
      <c r="AK592" s="694">
        <f t="shared" si="232"/>
        <v>0</v>
      </c>
      <c r="AL592" s="698">
        <f t="shared" si="233"/>
        <v>0</v>
      </c>
      <c r="AM592" s="679"/>
      <c r="AN592" s="678"/>
      <c r="AO592" s="679"/>
      <c r="AP592" s="678"/>
      <c r="AQ592" s="679"/>
      <c r="AR592" s="678"/>
      <c r="AS592" s="679"/>
      <c r="AT592" s="678"/>
      <c r="AU592" s="699">
        <f t="shared" si="223"/>
        <v>0</v>
      </c>
      <c r="AV592" s="695">
        <f t="shared" si="236"/>
        <v>0</v>
      </c>
      <c r="AW592" s="696">
        <f t="shared" si="224"/>
        <v>0</v>
      </c>
      <c r="AX592" s="697">
        <f t="shared" si="225"/>
        <v>0</v>
      </c>
      <c r="AY592" s="700">
        <f t="shared" si="234"/>
        <v>6566.58</v>
      </c>
      <c r="AZ592" s="697">
        <f t="shared" si="235"/>
        <v>6941.9744444444441</v>
      </c>
      <c r="BA592" s="680"/>
    </row>
    <row r="593" spans="1:53">
      <c r="A593" s="297" t="s">
        <v>279</v>
      </c>
      <c r="B593" s="290" t="s">
        <v>305</v>
      </c>
      <c r="C593" s="297">
        <v>222992</v>
      </c>
      <c r="D593" s="151">
        <v>8</v>
      </c>
      <c r="E593" s="148" t="s">
        <v>393</v>
      </c>
      <c r="F593" s="550" t="s">
        <v>393</v>
      </c>
      <c r="G593" s="679">
        <v>249738</v>
      </c>
      <c r="H593" s="678">
        <v>279070</v>
      </c>
      <c r="I593" s="679">
        <v>145075</v>
      </c>
      <c r="J593" s="678">
        <v>166306</v>
      </c>
      <c r="K593" s="679">
        <v>0</v>
      </c>
      <c r="L593" s="678">
        <v>0</v>
      </c>
      <c r="M593" s="679">
        <v>252322</v>
      </c>
      <c r="N593" s="716">
        <v>283563</v>
      </c>
      <c r="O593" s="694">
        <f t="shared" si="226"/>
        <v>647135</v>
      </c>
      <c r="P593" s="695">
        <f t="shared" si="237"/>
        <v>21571.166666666668</v>
      </c>
      <c r="Q593" s="696">
        <f t="shared" si="227"/>
        <v>728939</v>
      </c>
      <c r="R593" s="697">
        <f t="shared" si="220"/>
        <v>24297.966666666667</v>
      </c>
      <c r="S593" s="679">
        <v>35944</v>
      </c>
      <c r="T593" s="678">
        <v>43728</v>
      </c>
      <c r="U593" s="694">
        <f t="shared" si="228"/>
        <v>647135</v>
      </c>
      <c r="V593" s="698">
        <f t="shared" si="229"/>
        <v>728939</v>
      </c>
      <c r="W593" s="679">
        <v>114011</v>
      </c>
      <c r="X593" s="678">
        <v>103790</v>
      </c>
      <c r="Y593" s="679">
        <v>115154</v>
      </c>
      <c r="Z593" s="678">
        <v>54611</v>
      </c>
      <c r="AA593" s="679">
        <v>98024</v>
      </c>
      <c r="AB593" s="678">
        <v>98650</v>
      </c>
      <c r="AC593" s="679">
        <v>133589</v>
      </c>
      <c r="AD593" s="678">
        <v>123403</v>
      </c>
      <c r="AE593" s="694">
        <f t="shared" si="230"/>
        <v>460778</v>
      </c>
      <c r="AF593" s="695">
        <f t="shared" si="221"/>
        <v>511.97555555555556</v>
      </c>
      <c r="AG593" s="696">
        <f t="shared" si="231"/>
        <v>380454</v>
      </c>
      <c r="AH593" s="697">
        <f t="shared" si="222"/>
        <v>422.72666666666669</v>
      </c>
      <c r="AI593" s="679"/>
      <c r="AJ593" s="678"/>
      <c r="AK593" s="694">
        <f t="shared" si="232"/>
        <v>0</v>
      </c>
      <c r="AL593" s="698">
        <f t="shared" si="233"/>
        <v>0</v>
      </c>
      <c r="AM593" s="679"/>
      <c r="AN593" s="678"/>
      <c r="AO593" s="679"/>
      <c r="AP593" s="678"/>
      <c r="AQ593" s="679"/>
      <c r="AR593" s="678"/>
      <c r="AS593" s="679"/>
      <c r="AT593" s="678"/>
      <c r="AU593" s="699">
        <f t="shared" si="223"/>
        <v>0</v>
      </c>
      <c r="AV593" s="695">
        <f t="shared" si="236"/>
        <v>0</v>
      </c>
      <c r="AW593" s="696">
        <f t="shared" si="224"/>
        <v>0</v>
      </c>
      <c r="AX593" s="697">
        <f t="shared" si="225"/>
        <v>0</v>
      </c>
      <c r="AY593" s="700">
        <f t="shared" si="234"/>
        <v>22083.142222222225</v>
      </c>
      <c r="AZ593" s="697">
        <f t="shared" si="235"/>
        <v>24720.693333333333</v>
      </c>
      <c r="BA593" s="680"/>
    </row>
    <row r="594" spans="1:53">
      <c r="A594" s="297" t="s">
        <v>279</v>
      </c>
      <c r="B594" s="290" t="s">
        <v>306</v>
      </c>
      <c r="C594" s="297">
        <v>223427</v>
      </c>
      <c r="D594" s="151">
        <v>8</v>
      </c>
      <c r="E594" s="148" t="s">
        <v>393</v>
      </c>
      <c r="F594" s="550" t="s">
        <v>393</v>
      </c>
      <c r="G594" s="679">
        <v>137199</v>
      </c>
      <c r="H594" s="678">
        <v>150973</v>
      </c>
      <c r="I594" s="679">
        <v>29822</v>
      </c>
      <c r="J594" s="678">
        <v>29842</v>
      </c>
      <c r="K594" s="679">
        <v>16233</v>
      </c>
      <c r="L594" s="678">
        <v>18463</v>
      </c>
      <c r="M594" s="679">
        <v>156668</v>
      </c>
      <c r="N594" s="716">
        <v>173374</v>
      </c>
      <c r="O594" s="694">
        <f t="shared" si="226"/>
        <v>339922</v>
      </c>
      <c r="P594" s="695">
        <f t="shared" si="237"/>
        <v>11330.733333333334</v>
      </c>
      <c r="Q594" s="696">
        <f t="shared" si="227"/>
        <v>372652</v>
      </c>
      <c r="R594" s="697">
        <f t="shared" si="220"/>
        <v>12421.733333333334</v>
      </c>
      <c r="S594" s="679">
        <v>9899</v>
      </c>
      <c r="T594" s="678">
        <v>12367</v>
      </c>
      <c r="U594" s="694">
        <f t="shared" si="228"/>
        <v>339922</v>
      </c>
      <c r="V594" s="698">
        <f t="shared" si="229"/>
        <v>372652</v>
      </c>
      <c r="W594" s="679">
        <v>30465</v>
      </c>
      <c r="X594" s="678">
        <v>31293</v>
      </c>
      <c r="Y594" s="679">
        <v>33981</v>
      </c>
      <c r="Z594" s="678">
        <v>31714</v>
      </c>
      <c r="AA594" s="679">
        <v>38939</v>
      </c>
      <c r="AB594" s="678">
        <v>31329</v>
      </c>
      <c r="AC594" s="679">
        <v>36797</v>
      </c>
      <c r="AD594" s="678">
        <v>53101</v>
      </c>
      <c r="AE594" s="694">
        <f t="shared" si="230"/>
        <v>140182</v>
      </c>
      <c r="AF594" s="695">
        <f t="shared" si="221"/>
        <v>155.75777777777779</v>
      </c>
      <c r="AG594" s="696">
        <f t="shared" si="231"/>
        <v>147437</v>
      </c>
      <c r="AH594" s="697">
        <f t="shared" si="222"/>
        <v>163.81888888888889</v>
      </c>
      <c r="AI594" s="679"/>
      <c r="AJ594" s="678"/>
      <c r="AK594" s="694">
        <f t="shared" si="232"/>
        <v>0</v>
      </c>
      <c r="AL594" s="698">
        <f t="shared" si="233"/>
        <v>0</v>
      </c>
      <c r="AM594" s="679"/>
      <c r="AN594" s="678"/>
      <c r="AO594" s="679"/>
      <c r="AP594" s="678"/>
      <c r="AQ594" s="679"/>
      <c r="AR594" s="678"/>
      <c r="AS594" s="679"/>
      <c r="AT594" s="678"/>
      <c r="AU594" s="699">
        <f t="shared" si="223"/>
        <v>0</v>
      </c>
      <c r="AV594" s="695">
        <f t="shared" si="236"/>
        <v>0</v>
      </c>
      <c r="AW594" s="696">
        <f t="shared" si="224"/>
        <v>0</v>
      </c>
      <c r="AX594" s="697">
        <f t="shared" si="225"/>
        <v>0</v>
      </c>
      <c r="AY594" s="700">
        <f t="shared" si="234"/>
        <v>11486.491111111111</v>
      </c>
      <c r="AZ594" s="697">
        <f t="shared" si="235"/>
        <v>12585.552222222223</v>
      </c>
      <c r="BA594" s="680"/>
    </row>
    <row r="595" spans="1:53">
      <c r="A595" s="154" t="s">
        <v>279</v>
      </c>
      <c r="B595" s="167" t="s">
        <v>307</v>
      </c>
      <c r="C595" s="173">
        <v>223524</v>
      </c>
      <c r="D595" s="150">
        <v>8</v>
      </c>
      <c r="E595" s="148" t="s">
        <v>393</v>
      </c>
      <c r="F595" s="550" t="s">
        <v>393</v>
      </c>
      <c r="G595" s="679">
        <v>74837</v>
      </c>
      <c r="H595" s="678">
        <v>80895</v>
      </c>
      <c r="I595" s="679">
        <v>30166</v>
      </c>
      <c r="J595" s="678">
        <v>28752</v>
      </c>
      <c r="K595" s="679">
        <v>14512</v>
      </c>
      <c r="L595" s="678">
        <v>15827</v>
      </c>
      <c r="M595" s="679">
        <v>68735</v>
      </c>
      <c r="N595" s="678">
        <v>72399</v>
      </c>
      <c r="O595" s="694">
        <f t="shared" si="226"/>
        <v>188250</v>
      </c>
      <c r="P595" s="695">
        <f t="shared" si="237"/>
        <v>6275</v>
      </c>
      <c r="Q595" s="696">
        <f t="shared" si="227"/>
        <v>197873</v>
      </c>
      <c r="R595" s="697">
        <f t="shared" si="220"/>
        <v>6595.7666666666664</v>
      </c>
      <c r="S595" s="679">
        <v>6560</v>
      </c>
      <c r="T595" s="678">
        <v>6815</v>
      </c>
      <c r="U595" s="694">
        <f t="shared" si="228"/>
        <v>188250</v>
      </c>
      <c r="V595" s="698">
        <f t="shared" si="229"/>
        <v>197873</v>
      </c>
      <c r="W595" s="679">
        <v>72472</v>
      </c>
      <c r="X595" s="678">
        <v>72586</v>
      </c>
      <c r="Y595" s="679">
        <v>79835</v>
      </c>
      <c r="Z595" s="678">
        <v>82710</v>
      </c>
      <c r="AA595" s="679">
        <v>86034</v>
      </c>
      <c r="AB595" s="678">
        <v>72201</v>
      </c>
      <c r="AC595" s="679">
        <v>90742</v>
      </c>
      <c r="AD595" s="678">
        <v>110787</v>
      </c>
      <c r="AE595" s="694">
        <f t="shared" si="230"/>
        <v>329083</v>
      </c>
      <c r="AF595" s="695">
        <f t="shared" si="221"/>
        <v>365.64777777777778</v>
      </c>
      <c r="AG595" s="696">
        <f t="shared" si="231"/>
        <v>338284</v>
      </c>
      <c r="AH595" s="697">
        <f t="shared" si="222"/>
        <v>375.87111111111113</v>
      </c>
      <c r="AI595" s="679"/>
      <c r="AJ595" s="678"/>
      <c r="AK595" s="694">
        <f t="shared" si="232"/>
        <v>0</v>
      </c>
      <c r="AL595" s="698">
        <f t="shared" si="233"/>
        <v>0</v>
      </c>
      <c r="AM595" s="679"/>
      <c r="AN595" s="678"/>
      <c r="AO595" s="679"/>
      <c r="AP595" s="678"/>
      <c r="AQ595" s="679"/>
      <c r="AR595" s="678"/>
      <c r="AS595" s="679"/>
      <c r="AT595" s="678"/>
      <c r="AU595" s="699">
        <f t="shared" si="223"/>
        <v>0</v>
      </c>
      <c r="AV595" s="695">
        <f t="shared" si="236"/>
        <v>0</v>
      </c>
      <c r="AW595" s="696">
        <f t="shared" si="224"/>
        <v>0</v>
      </c>
      <c r="AX595" s="697">
        <f t="shared" si="225"/>
        <v>0</v>
      </c>
      <c r="AY595" s="700">
        <f t="shared" si="234"/>
        <v>6640.6477777777782</v>
      </c>
      <c r="AZ595" s="697">
        <f t="shared" si="235"/>
        <v>6971.637777777778</v>
      </c>
      <c r="BA595" s="680"/>
    </row>
    <row r="596" spans="1:53">
      <c r="A596" s="154" t="s">
        <v>279</v>
      </c>
      <c r="B596" s="154" t="s">
        <v>308</v>
      </c>
      <c r="C596" s="173">
        <v>223816</v>
      </c>
      <c r="D596" s="150">
        <v>8</v>
      </c>
      <c r="E596" s="148" t="s">
        <v>393</v>
      </c>
      <c r="F596" s="550" t="s">
        <v>393</v>
      </c>
      <c r="G596" s="679">
        <v>94390</v>
      </c>
      <c r="H596" s="678">
        <v>105908</v>
      </c>
      <c r="I596" s="679">
        <v>85813</v>
      </c>
      <c r="J596" s="678">
        <v>70415</v>
      </c>
      <c r="K596" s="679">
        <v>9922</v>
      </c>
      <c r="L596" s="678">
        <v>9694</v>
      </c>
      <c r="M596" s="679">
        <v>74021</v>
      </c>
      <c r="N596" s="678">
        <v>88586</v>
      </c>
      <c r="O596" s="694">
        <f t="shared" si="226"/>
        <v>264146</v>
      </c>
      <c r="P596" s="695">
        <f t="shared" si="237"/>
        <v>8804.8666666666668</v>
      </c>
      <c r="Q596" s="696">
        <f t="shared" si="227"/>
        <v>274603</v>
      </c>
      <c r="R596" s="697">
        <f t="shared" si="220"/>
        <v>9153.4333333333325</v>
      </c>
      <c r="S596" s="679">
        <v>17189</v>
      </c>
      <c r="T596" s="678">
        <v>18782</v>
      </c>
      <c r="U596" s="694">
        <f t="shared" si="228"/>
        <v>264146</v>
      </c>
      <c r="V596" s="698">
        <f t="shared" si="229"/>
        <v>274603</v>
      </c>
      <c r="W596" s="679">
        <v>60124</v>
      </c>
      <c r="X596" s="678">
        <v>63433</v>
      </c>
      <c r="Y596" s="679">
        <v>110100</v>
      </c>
      <c r="Z596" s="678">
        <v>75831</v>
      </c>
      <c r="AA596" s="679">
        <v>91433</v>
      </c>
      <c r="AB596" s="678">
        <v>97341</v>
      </c>
      <c r="AC596" s="679">
        <v>82082</v>
      </c>
      <c r="AD596" s="678">
        <v>112305</v>
      </c>
      <c r="AE596" s="694">
        <f t="shared" si="230"/>
        <v>343739</v>
      </c>
      <c r="AF596" s="695">
        <f t="shared" si="221"/>
        <v>381.93222222222221</v>
      </c>
      <c r="AG596" s="696">
        <f t="shared" si="231"/>
        <v>348910</v>
      </c>
      <c r="AH596" s="697">
        <f t="shared" si="222"/>
        <v>387.67777777777781</v>
      </c>
      <c r="AI596" s="679"/>
      <c r="AJ596" s="678"/>
      <c r="AK596" s="694">
        <f t="shared" si="232"/>
        <v>0</v>
      </c>
      <c r="AL596" s="698">
        <f t="shared" si="233"/>
        <v>0</v>
      </c>
      <c r="AM596" s="679"/>
      <c r="AN596" s="678"/>
      <c r="AO596" s="679"/>
      <c r="AP596" s="678"/>
      <c r="AQ596" s="679"/>
      <c r="AR596" s="678"/>
      <c r="AS596" s="679"/>
      <c r="AT596" s="678"/>
      <c r="AU596" s="699">
        <f t="shared" si="223"/>
        <v>0</v>
      </c>
      <c r="AV596" s="695">
        <f t="shared" si="236"/>
        <v>0</v>
      </c>
      <c r="AW596" s="696">
        <f t="shared" si="224"/>
        <v>0</v>
      </c>
      <c r="AX596" s="697">
        <f t="shared" si="225"/>
        <v>0</v>
      </c>
      <c r="AY596" s="700">
        <f t="shared" si="234"/>
        <v>9186.7988888888885</v>
      </c>
      <c r="AZ596" s="697">
        <f t="shared" si="235"/>
        <v>9541.1111111111095</v>
      </c>
      <c r="BA596" s="680"/>
    </row>
    <row r="597" spans="1:53">
      <c r="A597" s="154" t="s">
        <v>279</v>
      </c>
      <c r="B597" s="154" t="s">
        <v>309</v>
      </c>
      <c r="C597" s="173">
        <v>247834</v>
      </c>
      <c r="D597" s="152">
        <v>8</v>
      </c>
      <c r="E597" s="148" t="s">
        <v>393</v>
      </c>
      <c r="F597" s="550" t="s">
        <v>393</v>
      </c>
      <c r="G597" s="679">
        <v>170777</v>
      </c>
      <c r="H597" s="678">
        <v>187913</v>
      </c>
      <c r="I597" s="679">
        <v>38106</v>
      </c>
      <c r="J597" s="678">
        <v>40473</v>
      </c>
      <c r="K597" s="679">
        <v>30905</v>
      </c>
      <c r="L597" s="678">
        <v>35120</v>
      </c>
      <c r="M597" s="679">
        <v>178651</v>
      </c>
      <c r="N597" s="678">
        <v>208739</v>
      </c>
      <c r="O597" s="694">
        <f t="shared" si="226"/>
        <v>418439</v>
      </c>
      <c r="P597" s="695">
        <f t="shared" si="237"/>
        <v>13947.966666666667</v>
      </c>
      <c r="Q597" s="696">
        <f t="shared" si="227"/>
        <v>472245</v>
      </c>
      <c r="R597" s="697">
        <f t="shared" si="220"/>
        <v>15741.5</v>
      </c>
      <c r="S597" s="679">
        <v>11872</v>
      </c>
      <c r="T597" s="678">
        <v>14895</v>
      </c>
      <c r="U597" s="694">
        <f t="shared" si="228"/>
        <v>418439</v>
      </c>
      <c r="V597" s="698">
        <f t="shared" si="229"/>
        <v>472245</v>
      </c>
      <c r="W597" s="679">
        <v>133412</v>
      </c>
      <c r="X597" s="678">
        <v>163036</v>
      </c>
      <c r="Y597" s="679">
        <v>117427</v>
      </c>
      <c r="Z597" s="678">
        <v>107629</v>
      </c>
      <c r="AA597" s="679">
        <v>103662</v>
      </c>
      <c r="AB597" s="678">
        <v>138033</v>
      </c>
      <c r="AC597" s="679">
        <v>176556</v>
      </c>
      <c r="AD597" s="678">
        <v>187854</v>
      </c>
      <c r="AE597" s="694">
        <f t="shared" si="230"/>
        <v>531057</v>
      </c>
      <c r="AF597" s="695">
        <f t="shared" si="221"/>
        <v>590.06333333333339</v>
      </c>
      <c r="AG597" s="696">
        <f t="shared" si="231"/>
        <v>596552</v>
      </c>
      <c r="AH597" s="697">
        <f t="shared" si="222"/>
        <v>662.83555555555552</v>
      </c>
      <c r="AI597" s="679"/>
      <c r="AJ597" s="678"/>
      <c r="AK597" s="694">
        <f t="shared" si="232"/>
        <v>0</v>
      </c>
      <c r="AL597" s="698">
        <f t="shared" si="233"/>
        <v>0</v>
      </c>
      <c r="AM597" s="679"/>
      <c r="AN597" s="678"/>
      <c r="AO597" s="679"/>
      <c r="AP597" s="678"/>
      <c r="AQ597" s="679"/>
      <c r="AR597" s="678"/>
      <c r="AS597" s="679"/>
      <c r="AT597" s="678"/>
      <c r="AU597" s="699">
        <f t="shared" si="223"/>
        <v>0</v>
      </c>
      <c r="AV597" s="695">
        <f t="shared" si="236"/>
        <v>0</v>
      </c>
      <c r="AW597" s="696">
        <f t="shared" si="224"/>
        <v>0</v>
      </c>
      <c r="AX597" s="697">
        <f t="shared" si="225"/>
        <v>0</v>
      </c>
      <c r="AY597" s="700">
        <f t="shared" si="234"/>
        <v>14538.03</v>
      </c>
      <c r="AZ597" s="697">
        <f t="shared" si="235"/>
        <v>16404.335555555557</v>
      </c>
      <c r="BA597" s="680"/>
    </row>
    <row r="598" spans="1:53">
      <c r="A598" s="154" t="s">
        <v>279</v>
      </c>
      <c r="B598" s="154" t="s">
        <v>310</v>
      </c>
      <c r="C598" s="173">
        <v>224350</v>
      </c>
      <c r="D598" s="152">
        <v>8</v>
      </c>
      <c r="E598" s="148" t="s">
        <v>393</v>
      </c>
      <c r="F598" s="550" t="s">
        <v>393</v>
      </c>
      <c r="G598" s="679">
        <v>83024</v>
      </c>
      <c r="H598" s="678">
        <v>86050</v>
      </c>
      <c r="I598" s="679">
        <v>22815</v>
      </c>
      <c r="J598" s="678">
        <v>24128</v>
      </c>
      <c r="K598" s="679">
        <v>8940</v>
      </c>
      <c r="L598" s="678">
        <v>10168</v>
      </c>
      <c r="M598" s="679">
        <v>91580</v>
      </c>
      <c r="N598" s="678">
        <v>100698</v>
      </c>
      <c r="O598" s="694">
        <f t="shared" si="226"/>
        <v>206359</v>
      </c>
      <c r="P598" s="695">
        <f t="shared" si="237"/>
        <v>6878.6333333333332</v>
      </c>
      <c r="Q598" s="696">
        <f t="shared" si="227"/>
        <v>221044</v>
      </c>
      <c r="R598" s="697">
        <f t="shared" si="220"/>
        <v>7368.1333333333332</v>
      </c>
      <c r="S598" s="679">
        <v>9874</v>
      </c>
      <c r="T598" s="678">
        <v>13492</v>
      </c>
      <c r="U598" s="694">
        <f t="shared" si="228"/>
        <v>206359</v>
      </c>
      <c r="V598" s="698">
        <f t="shared" si="229"/>
        <v>221044</v>
      </c>
      <c r="W598" s="714">
        <v>64250</v>
      </c>
      <c r="X598" s="715">
        <v>39991</v>
      </c>
      <c r="Y598" s="714">
        <v>78386</v>
      </c>
      <c r="Z598" s="715">
        <v>30547</v>
      </c>
      <c r="AA598" s="714">
        <v>80078</v>
      </c>
      <c r="AB598" s="715">
        <v>43745</v>
      </c>
      <c r="AC598" s="714">
        <v>54017</v>
      </c>
      <c r="AD598" s="715">
        <v>46128</v>
      </c>
      <c r="AE598" s="694">
        <f t="shared" si="230"/>
        <v>276731</v>
      </c>
      <c r="AF598" s="695">
        <f t="shared" si="221"/>
        <v>307.47888888888889</v>
      </c>
      <c r="AG598" s="696">
        <f t="shared" si="231"/>
        <v>160411</v>
      </c>
      <c r="AH598" s="697">
        <f t="shared" si="222"/>
        <v>178.23444444444445</v>
      </c>
      <c r="AI598" s="679"/>
      <c r="AJ598" s="678"/>
      <c r="AK598" s="694">
        <f t="shared" si="232"/>
        <v>0</v>
      </c>
      <c r="AL598" s="698">
        <f t="shared" si="233"/>
        <v>0</v>
      </c>
      <c r="AM598" s="679"/>
      <c r="AN598" s="678"/>
      <c r="AO598" s="679"/>
      <c r="AP598" s="678"/>
      <c r="AQ598" s="679"/>
      <c r="AR598" s="678"/>
      <c r="AS598" s="679"/>
      <c r="AT598" s="678"/>
      <c r="AU598" s="699">
        <f t="shared" si="223"/>
        <v>0</v>
      </c>
      <c r="AV598" s="695">
        <f t="shared" si="236"/>
        <v>0</v>
      </c>
      <c r="AW598" s="696">
        <f t="shared" si="224"/>
        <v>0</v>
      </c>
      <c r="AX598" s="697">
        <f t="shared" si="225"/>
        <v>0</v>
      </c>
      <c r="AY598" s="700">
        <f t="shared" si="234"/>
        <v>7186.112222222222</v>
      </c>
      <c r="AZ598" s="697">
        <f t="shared" si="235"/>
        <v>7546.3677777777775</v>
      </c>
      <c r="BA598" s="680"/>
    </row>
    <row r="599" spans="1:53">
      <c r="A599" s="154" t="s">
        <v>279</v>
      </c>
      <c r="B599" s="167" t="s">
        <v>311</v>
      </c>
      <c r="C599" s="173">
        <v>224572</v>
      </c>
      <c r="D599" s="152">
        <v>8</v>
      </c>
      <c r="E599" s="148" t="s">
        <v>393</v>
      </c>
      <c r="F599" s="550" t="s">
        <v>393</v>
      </c>
      <c r="G599" s="679">
        <v>75020</v>
      </c>
      <c r="H599" s="678">
        <v>81552</v>
      </c>
      <c r="I599" s="679">
        <v>28782</v>
      </c>
      <c r="J599" s="678">
        <v>27579</v>
      </c>
      <c r="K599" s="679">
        <v>13052</v>
      </c>
      <c r="L599" s="678">
        <v>13567</v>
      </c>
      <c r="M599" s="679">
        <v>68450</v>
      </c>
      <c r="N599" s="678">
        <v>74230</v>
      </c>
      <c r="O599" s="694">
        <f t="shared" si="226"/>
        <v>185304</v>
      </c>
      <c r="P599" s="695">
        <f t="shared" si="237"/>
        <v>6176.8</v>
      </c>
      <c r="Q599" s="696">
        <f t="shared" si="227"/>
        <v>196928</v>
      </c>
      <c r="R599" s="697">
        <f t="shared" si="220"/>
        <v>6564.2666666666664</v>
      </c>
      <c r="S599" s="679">
        <v>10390</v>
      </c>
      <c r="T599" s="678">
        <v>13197</v>
      </c>
      <c r="U599" s="694">
        <f t="shared" si="228"/>
        <v>185304</v>
      </c>
      <c r="V599" s="698">
        <f t="shared" si="229"/>
        <v>196928</v>
      </c>
      <c r="W599" s="679">
        <v>54026</v>
      </c>
      <c r="X599" s="678">
        <v>53677</v>
      </c>
      <c r="Y599" s="679">
        <v>55414</v>
      </c>
      <c r="Z599" s="678">
        <v>50259</v>
      </c>
      <c r="AA599" s="679">
        <v>64418</v>
      </c>
      <c r="AB599" s="678">
        <v>75311</v>
      </c>
      <c r="AC599" s="679">
        <v>63536</v>
      </c>
      <c r="AD599" s="678">
        <v>63293</v>
      </c>
      <c r="AE599" s="694">
        <f t="shared" si="230"/>
        <v>237394</v>
      </c>
      <c r="AF599" s="695">
        <f t="shared" si="221"/>
        <v>263.77111111111111</v>
      </c>
      <c r="AG599" s="696">
        <f t="shared" si="231"/>
        <v>242540</v>
      </c>
      <c r="AH599" s="697">
        <f t="shared" si="222"/>
        <v>269.48888888888888</v>
      </c>
      <c r="AI599" s="679"/>
      <c r="AJ599" s="678"/>
      <c r="AK599" s="694">
        <f t="shared" si="232"/>
        <v>0</v>
      </c>
      <c r="AL599" s="698">
        <f t="shared" si="233"/>
        <v>0</v>
      </c>
      <c r="AM599" s="679"/>
      <c r="AN599" s="678"/>
      <c r="AO599" s="679"/>
      <c r="AP599" s="678"/>
      <c r="AQ599" s="679"/>
      <c r="AR599" s="678"/>
      <c r="AS599" s="679"/>
      <c r="AT599" s="678"/>
      <c r="AU599" s="699">
        <f t="shared" si="223"/>
        <v>0</v>
      </c>
      <c r="AV599" s="695">
        <f t="shared" si="236"/>
        <v>0</v>
      </c>
      <c r="AW599" s="696">
        <f t="shared" si="224"/>
        <v>0</v>
      </c>
      <c r="AX599" s="697">
        <f t="shared" si="225"/>
        <v>0</v>
      </c>
      <c r="AY599" s="700">
        <f t="shared" si="234"/>
        <v>6440.5711111111113</v>
      </c>
      <c r="AZ599" s="697">
        <f t="shared" si="235"/>
        <v>6833.7555555555555</v>
      </c>
      <c r="BA599" s="680"/>
    </row>
    <row r="600" spans="1:53">
      <c r="A600" s="556" t="s">
        <v>279</v>
      </c>
      <c r="B600" s="154" t="s">
        <v>312</v>
      </c>
      <c r="C600" s="173">
        <v>224642</v>
      </c>
      <c r="D600" s="152">
        <v>8</v>
      </c>
      <c r="E600" s="148" t="s">
        <v>393</v>
      </c>
      <c r="F600" s="550" t="s">
        <v>393</v>
      </c>
      <c r="G600" s="679">
        <v>200821</v>
      </c>
      <c r="H600" s="678">
        <v>212405</v>
      </c>
      <c r="I600" s="679">
        <v>52347</v>
      </c>
      <c r="J600" s="678">
        <v>54346</v>
      </c>
      <c r="K600" s="679">
        <v>0</v>
      </c>
      <c r="L600" s="678">
        <v>0</v>
      </c>
      <c r="M600" s="679">
        <v>225500</v>
      </c>
      <c r="N600" s="678">
        <v>246934</v>
      </c>
      <c r="O600" s="694">
        <f t="shared" si="226"/>
        <v>478668</v>
      </c>
      <c r="P600" s="695">
        <f t="shared" si="237"/>
        <v>15955.6</v>
      </c>
      <c r="Q600" s="696">
        <f t="shared" si="227"/>
        <v>513685</v>
      </c>
      <c r="R600" s="697">
        <f t="shared" si="220"/>
        <v>17122.833333333332</v>
      </c>
      <c r="S600" s="679">
        <v>28385</v>
      </c>
      <c r="T600" s="678">
        <v>32970</v>
      </c>
      <c r="U600" s="694">
        <f t="shared" si="228"/>
        <v>478668</v>
      </c>
      <c r="V600" s="698">
        <f t="shared" si="229"/>
        <v>513685</v>
      </c>
      <c r="W600" s="679">
        <v>125484</v>
      </c>
      <c r="X600" s="678">
        <v>132415</v>
      </c>
      <c r="Y600" s="679">
        <v>122704</v>
      </c>
      <c r="Z600" s="678">
        <v>121481</v>
      </c>
      <c r="AA600" s="679">
        <v>125093</v>
      </c>
      <c r="AB600" s="678">
        <v>139220</v>
      </c>
      <c r="AC600" s="679">
        <v>117043</v>
      </c>
      <c r="AD600" s="678">
        <v>168732</v>
      </c>
      <c r="AE600" s="694">
        <f t="shared" si="230"/>
        <v>490324</v>
      </c>
      <c r="AF600" s="695">
        <f t="shared" si="221"/>
        <v>544.80444444444447</v>
      </c>
      <c r="AG600" s="696">
        <f t="shared" si="231"/>
        <v>561848</v>
      </c>
      <c r="AH600" s="697">
        <f t="shared" si="222"/>
        <v>624.27555555555557</v>
      </c>
      <c r="AI600" s="679"/>
      <c r="AJ600" s="678"/>
      <c r="AK600" s="694">
        <f t="shared" si="232"/>
        <v>0</v>
      </c>
      <c r="AL600" s="698">
        <f t="shared" si="233"/>
        <v>0</v>
      </c>
      <c r="AM600" s="679"/>
      <c r="AN600" s="678"/>
      <c r="AO600" s="679"/>
      <c r="AP600" s="678"/>
      <c r="AQ600" s="679"/>
      <c r="AR600" s="678"/>
      <c r="AS600" s="679"/>
      <c r="AT600" s="678"/>
      <c r="AU600" s="699">
        <f t="shared" si="223"/>
        <v>0</v>
      </c>
      <c r="AV600" s="695">
        <f t="shared" si="236"/>
        <v>0</v>
      </c>
      <c r="AW600" s="696">
        <f t="shared" si="224"/>
        <v>0</v>
      </c>
      <c r="AX600" s="697">
        <f t="shared" si="225"/>
        <v>0</v>
      </c>
      <c r="AY600" s="700">
        <f t="shared" si="234"/>
        <v>16500.404444444444</v>
      </c>
      <c r="AZ600" s="697">
        <f t="shared" si="235"/>
        <v>17747.108888888888</v>
      </c>
      <c r="BA600" s="680"/>
    </row>
    <row r="601" spans="1:53">
      <c r="A601" s="154" t="s">
        <v>279</v>
      </c>
      <c r="B601" s="154" t="s">
        <v>313</v>
      </c>
      <c r="C601" s="173">
        <v>225423</v>
      </c>
      <c r="D601" s="152">
        <v>8</v>
      </c>
      <c r="E601" s="148" t="s">
        <v>393</v>
      </c>
      <c r="F601" s="550" t="s">
        <v>393</v>
      </c>
      <c r="G601" s="679">
        <v>340857</v>
      </c>
      <c r="H601" s="678">
        <v>393534</v>
      </c>
      <c r="I601" s="679">
        <v>227404</v>
      </c>
      <c r="J601" s="678">
        <v>259547</v>
      </c>
      <c r="K601" s="679">
        <v>0</v>
      </c>
      <c r="L601" s="678">
        <v>0</v>
      </c>
      <c r="M601" s="679">
        <v>297936</v>
      </c>
      <c r="N601" s="678">
        <v>328163</v>
      </c>
      <c r="O601" s="694">
        <f t="shared" si="226"/>
        <v>866197</v>
      </c>
      <c r="P601" s="695">
        <f t="shared" si="237"/>
        <v>28873.233333333334</v>
      </c>
      <c r="Q601" s="696">
        <f t="shared" si="227"/>
        <v>981244</v>
      </c>
      <c r="R601" s="697">
        <f t="shared" si="220"/>
        <v>32708.133333333335</v>
      </c>
      <c r="S601" s="679">
        <v>37464</v>
      </c>
      <c r="T601" s="678">
        <v>50588</v>
      </c>
      <c r="U601" s="694">
        <f t="shared" si="228"/>
        <v>866197</v>
      </c>
      <c r="V601" s="698">
        <f t="shared" si="229"/>
        <v>981244</v>
      </c>
      <c r="W601" s="679">
        <v>438229</v>
      </c>
      <c r="X601" s="678">
        <v>471562</v>
      </c>
      <c r="Y601" s="679">
        <v>411029</v>
      </c>
      <c r="Z601" s="678">
        <v>414318</v>
      </c>
      <c r="AA601" s="679">
        <v>396354</v>
      </c>
      <c r="AB601" s="678">
        <v>429137</v>
      </c>
      <c r="AC601" s="679">
        <v>495744</v>
      </c>
      <c r="AD601" s="678">
        <v>594100</v>
      </c>
      <c r="AE601" s="694">
        <f t="shared" si="230"/>
        <v>1741356</v>
      </c>
      <c r="AF601" s="695">
        <f t="shared" si="221"/>
        <v>1934.84</v>
      </c>
      <c r="AG601" s="696">
        <f t="shared" si="231"/>
        <v>1909117</v>
      </c>
      <c r="AH601" s="697">
        <f t="shared" si="222"/>
        <v>2121.241111111111</v>
      </c>
      <c r="AI601" s="679"/>
      <c r="AJ601" s="678"/>
      <c r="AK601" s="694">
        <f t="shared" si="232"/>
        <v>0</v>
      </c>
      <c r="AL601" s="698">
        <f t="shared" si="233"/>
        <v>0</v>
      </c>
      <c r="AM601" s="679"/>
      <c r="AN601" s="678"/>
      <c r="AO601" s="679"/>
      <c r="AP601" s="678"/>
      <c r="AQ601" s="679"/>
      <c r="AR601" s="678"/>
      <c r="AS601" s="679"/>
      <c r="AT601" s="678"/>
      <c r="AU601" s="699">
        <f t="shared" si="223"/>
        <v>0</v>
      </c>
      <c r="AV601" s="695">
        <f t="shared" si="236"/>
        <v>0</v>
      </c>
      <c r="AW601" s="696">
        <f t="shared" si="224"/>
        <v>0</v>
      </c>
      <c r="AX601" s="697">
        <f t="shared" si="225"/>
        <v>0</v>
      </c>
      <c r="AY601" s="700">
        <f t="shared" si="234"/>
        <v>30808.073333333334</v>
      </c>
      <c r="AZ601" s="697">
        <f t="shared" si="235"/>
        <v>34829.374444444446</v>
      </c>
      <c r="BA601" s="680"/>
    </row>
    <row r="602" spans="1:53">
      <c r="A602" s="154" t="s">
        <v>279</v>
      </c>
      <c r="B602" s="154" t="s">
        <v>314</v>
      </c>
      <c r="C602" s="173">
        <v>226134</v>
      </c>
      <c r="D602" s="152">
        <v>8</v>
      </c>
      <c r="E602" s="148" t="s">
        <v>393</v>
      </c>
      <c r="F602" s="550" t="s">
        <v>393</v>
      </c>
      <c r="G602" s="679">
        <v>64613</v>
      </c>
      <c r="H602" s="678">
        <v>69918</v>
      </c>
      <c r="I602" s="679">
        <v>14073</v>
      </c>
      <c r="J602" s="678">
        <v>15871</v>
      </c>
      <c r="K602" s="679">
        <v>8504</v>
      </c>
      <c r="L602" s="678">
        <v>9127</v>
      </c>
      <c r="M602" s="679">
        <v>70254</v>
      </c>
      <c r="N602" s="678">
        <v>78664</v>
      </c>
      <c r="O602" s="694">
        <f t="shared" si="226"/>
        <v>157444</v>
      </c>
      <c r="P602" s="695">
        <f t="shared" si="237"/>
        <v>5248.1333333333332</v>
      </c>
      <c r="Q602" s="696">
        <f t="shared" si="227"/>
        <v>173580</v>
      </c>
      <c r="R602" s="697">
        <f t="shared" si="220"/>
        <v>5786</v>
      </c>
      <c r="S602" s="679">
        <v>1250</v>
      </c>
      <c r="T602" s="678">
        <v>3733</v>
      </c>
      <c r="U602" s="694">
        <f t="shared" si="228"/>
        <v>157444</v>
      </c>
      <c r="V602" s="698">
        <f t="shared" si="229"/>
        <v>173580</v>
      </c>
      <c r="W602" s="679">
        <v>21583</v>
      </c>
      <c r="X602" s="678">
        <v>35505</v>
      </c>
      <c r="Y602" s="714">
        <v>41862</v>
      </c>
      <c r="Z602" s="715">
        <v>23378</v>
      </c>
      <c r="AA602" s="714">
        <v>58900</v>
      </c>
      <c r="AB602" s="715">
        <v>23912</v>
      </c>
      <c r="AC602" s="714">
        <v>40473</v>
      </c>
      <c r="AD602" s="715">
        <v>21992</v>
      </c>
      <c r="AE602" s="694">
        <f t="shared" si="230"/>
        <v>162818</v>
      </c>
      <c r="AF602" s="695">
        <f t="shared" si="221"/>
        <v>180.9088888888889</v>
      </c>
      <c r="AG602" s="696">
        <f t="shared" si="231"/>
        <v>104787</v>
      </c>
      <c r="AH602" s="697">
        <f t="shared" si="222"/>
        <v>116.43</v>
      </c>
      <c r="AI602" s="679"/>
      <c r="AJ602" s="678"/>
      <c r="AK602" s="694">
        <f t="shared" si="232"/>
        <v>0</v>
      </c>
      <c r="AL602" s="698">
        <f t="shared" si="233"/>
        <v>0</v>
      </c>
      <c r="AM602" s="679"/>
      <c r="AN602" s="678"/>
      <c r="AO602" s="679"/>
      <c r="AP602" s="678"/>
      <c r="AQ602" s="679"/>
      <c r="AR602" s="678"/>
      <c r="AS602" s="679"/>
      <c r="AT602" s="678"/>
      <c r="AU602" s="699">
        <f t="shared" si="223"/>
        <v>0</v>
      </c>
      <c r="AV602" s="695">
        <f t="shared" si="236"/>
        <v>0</v>
      </c>
      <c r="AW602" s="696">
        <f t="shared" si="224"/>
        <v>0</v>
      </c>
      <c r="AX602" s="697">
        <f t="shared" si="225"/>
        <v>0</v>
      </c>
      <c r="AY602" s="700">
        <f t="shared" si="234"/>
        <v>5429.0422222222223</v>
      </c>
      <c r="AZ602" s="697">
        <f t="shared" si="235"/>
        <v>5902.43</v>
      </c>
      <c r="BA602" s="680"/>
    </row>
    <row r="603" spans="1:53">
      <c r="A603" s="297" t="s">
        <v>279</v>
      </c>
      <c r="B603" s="290" t="s">
        <v>860</v>
      </c>
      <c r="C603" s="297">
        <v>227182</v>
      </c>
      <c r="D603" s="151">
        <v>8</v>
      </c>
      <c r="E603" s="148" t="s">
        <v>393</v>
      </c>
      <c r="F603" s="550" t="s">
        <v>393</v>
      </c>
      <c r="G603" s="679">
        <v>341083</v>
      </c>
      <c r="H603" s="678">
        <v>352232</v>
      </c>
      <c r="I603" s="679">
        <v>160831</v>
      </c>
      <c r="J603" s="678">
        <v>177471</v>
      </c>
      <c r="K603" s="679">
        <v>0</v>
      </c>
      <c r="L603" s="678">
        <v>0</v>
      </c>
      <c r="M603" s="679">
        <v>340294</v>
      </c>
      <c r="N603" s="678">
        <v>386785</v>
      </c>
      <c r="O603" s="694">
        <f t="shared" si="226"/>
        <v>842208</v>
      </c>
      <c r="P603" s="695">
        <f t="shared" si="237"/>
        <v>28073.599999999999</v>
      </c>
      <c r="Q603" s="696">
        <f t="shared" si="227"/>
        <v>916488</v>
      </c>
      <c r="R603" s="697">
        <f t="shared" si="220"/>
        <v>30549.599999999999</v>
      </c>
      <c r="S603" s="679">
        <v>43900</v>
      </c>
      <c r="T603" s="678">
        <v>49505</v>
      </c>
      <c r="U603" s="694">
        <f t="shared" si="228"/>
        <v>842208</v>
      </c>
      <c r="V603" s="698">
        <f t="shared" si="229"/>
        <v>916488</v>
      </c>
      <c r="W603" s="679">
        <v>159298</v>
      </c>
      <c r="X603" s="678">
        <v>168162</v>
      </c>
      <c r="Y603" s="679">
        <v>84210</v>
      </c>
      <c r="Z603" s="678">
        <v>107632</v>
      </c>
      <c r="AA603" s="679">
        <v>108155</v>
      </c>
      <c r="AB603" s="678">
        <v>137850</v>
      </c>
      <c r="AC603" s="679">
        <v>199056</v>
      </c>
      <c r="AD603" s="678">
        <v>183181</v>
      </c>
      <c r="AE603" s="694">
        <f t="shared" si="230"/>
        <v>550719</v>
      </c>
      <c r="AF603" s="695">
        <f t="shared" si="221"/>
        <v>611.91</v>
      </c>
      <c r="AG603" s="696">
        <f t="shared" si="231"/>
        <v>596825</v>
      </c>
      <c r="AH603" s="697">
        <f t="shared" si="222"/>
        <v>663.13888888888891</v>
      </c>
      <c r="AI603" s="679"/>
      <c r="AJ603" s="678"/>
      <c r="AK603" s="694">
        <f t="shared" si="232"/>
        <v>0</v>
      </c>
      <c r="AL603" s="698">
        <f t="shared" si="233"/>
        <v>0</v>
      </c>
      <c r="AM603" s="679"/>
      <c r="AN603" s="678"/>
      <c r="AO603" s="679"/>
      <c r="AP603" s="678"/>
      <c r="AQ603" s="679"/>
      <c r="AR603" s="678"/>
      <c r="AS603" s="679"/>
      <c r="AT603" s="678"/>
      <c r="AU603" s="699">
        <f t="shared" si="223"/>
        <v>0</v>
      </c>
      <c r="AV603" s="695">
        <f t="shared" si="236"/>
        <v>0</v>
      </c>
      <c r="AW603" s="696">
        <f t="shared" si="224"/>
        <v>0</v>
      </c>
      <c r="AX603" s="697">
        <f t="shared" si="225"/>
        <v>0</v>
      </c>
      <c r="AY603" s="700">
        <f t="shared" si="234"/>
        <v>28685.51</v>
      </c>
      <c r="AZ603" s="697">
        <f t="shared" si="235"/>
        <v>31212.738888888889</v>
      </c>
      <c r="BA603" s="680"/>
    </row>
    <row r="604" spans="1:53">
      <c r="A604" s="154" t="s">
        <v>279</v>
      </c>
      <c r="B604" s="154" t="s">
        <v>315</v>
      </c>
      <c r="C604" s="173">
        <v>226578</v>
      </c>
      <c r="D604" s="152">
        <v>8</v>
      </c>
      <c r="E604" s="148" t="s">
        <v>393</v>
      </c>
      <c r="F604" s="550" t="s">
        <v>393</v>
      </c>
      <c r="G604" s="679">
        <v>68821</v>
      </c>
      <c r="H604" s="678">
        <v>77640</v>
      </c>
      <c r="I604" s="679">
        <v>20312</v>
      </c>
      <c r="J604" s="678">
        <v>17137</v>
      </c>
      <c r="K604" s="679">
        <v>9693</v>
      </c>
      <c r="L604" s="678">
        <v>10271</v>
      </c>
      <c r="M604" s="679">
        <v>71854</v>
      </c>
      <c r="N604" s="678">
        <v>85726</v>
      </c>
      <c r="O604" s="694">
        <f t="shared" si="226"/>
        <v>170680</v>
      </c>
      <c r="P604" s="695">
        <f t="shared" si="237"/>
        <v>5689.333333333333</v>
      </c>
      <c r="Q604" s="696">
        <f t="shared" si="227"/>
        <v>190774</v>
      </c>
      <c r="R604" s="697">
        <f t="shared" si="220"/>
        <v>6359.1333333333332</v>
      </c>
      <c r="S604" s="679">
        <v>7898</v>
      </c>
      <c r="T604" s="678">
        <v>8630</v>
      </c>
      <c r="U604" s="694">
        <f t="shared" si="228"/>
        <v>170680</v>
      </c>
      <c r="V604" s="698">
        <f t="shared" si="229"/>
        <v>190774</v>
      </c>
      <c r="W604" s="679">
        <v>44356</v>
      </c>
      <c r="X604" s="678">
        <v>60840</v>
      </c>
      <c r="Y604" s="679">
        <v>51007</v>
      </c>
      <c r="Z604" s="678">
        <v>53197</v>
      </c>
      <c r="AA604" s="679">
        <v>67135</v>
      </c>
      <c r="AB604" s="678">
        <v>80487</v>
      </c>
      <c r="AC604" s="679">
        <v>41879</v>
      </c>
      <c r="AD604" s="678">
        <v>46770</v>
      </c>
      <c r="AE604" s="694">
        <f t="shared" si="230"/>
        <v>204377</v>
      </c>
      <c r="AF604" s="695">
        <f t="shared" si="221"/>
        <v>227.08555555555554</v>
      </c>
      <c r="AG604" s="696">
        <f t="shared" si="231"/>
        <v>241294</v>
      </c>
      <c r="AH604" s="697">
        <f t="shared" si="222"/>
        <v>268.10444444444443</v>
      </c>
      <c r="AI604" s="679"/>
      <c r="AJ604" s="678"/>
      <c r="AK604" s="694">
        <f t="shared" si="232"/>
        <v>0</v>
      </c>
      <c r="AL604" s="698">
        <f t="shared" si="233"/>
        <v>0</v>
      </c>
      <c r="AM604" s="679"/>
      <c r="AN604" s="678"/>
      <c r="AO604" s="679"/>
      <c r="AP604" s="678"/>
      <c r="AQ604" s="679"/>
      <c r="AR604" s="678"/>
      <c r="AS604" s="679"/>
      <c r="AT604" s="678"/>
      <c r="AU604" s="699">
        <f t="shared" si="223"/>
        <v>0</v>
      </c>
      <c r="AV604" s="695">
        <f t="shared" si="236"/>
        <v>0</v>
      </c>
      <c r="AW604" s="696">
        <f t="shared" si="224"/>
        <v>0</v>
      </c>
      <c r="AX604" s="697">
        <f t="shared" si="225"/>
        <v>0</v>
      </c>
      <c r="AY604" s="700">
        <f t="shared" si="234"/>
        <v>5916.4188888888884</v>
      </c>
      <c r="AZ604" s="697">
        <f t="shared" si="235"/>
        <v>6627.2377777777774</v>
      </c>
      <c r="BA604" s="680"/>
    </row>
    <row r="605" spans="1:53">
      <c r="A605" s="154" t="s">
        <v>279</v>
      </c>
      <c r="B605" s="154" t="s">
        <v>345</v>
      </c>
      <c r="C605" s="173">
        <v>227146</v>
      </c>
      <c r="D605" s="150">
        <v>8</v>
      </c>
      <c r="E605" s="148" t="s">
        <v>393</v>
      </c>
      <c r="F605" s="550" t="s">
        <v>393</v>
      </c>
      <c r="G605" s="679">
        <v>72813</v>
      </c>
      <c r="H605" s="678">
        <v>82143</v>
      </c>
      <c r="I605" s="679">
        <v>16553</v>
      </c>
      <c r="J605" s="678">
        <v>19708</v>
      </c>
      <c r="K605" s="679">
        <v>5462</v>
      </c>
      <c r="L605" s="678">
        <v>7603</v>
      </c>
      <c r="M605" s="679">
        <v>77047</v>
      </c>
      <c r="N605" s="678">
        <v>89604</v>
      </c>
      <c r="O605" s="694">
        <f t="shared" si="226"/>
        <v>171875</v>
      </c>
      <c r="P605" s="695">
        <f t="shared" si="237"/>
        <v>5729.166666666667</v>
      </c>
      <c r="Q605" s="696">
        <f t="shared" si="227"/>
        <v>199058</v>
      </c>
      <c r="R605" s="697">
        <f t="shared" si="220"/>
        <v>6635.2666666666664</v>
      </c>
      <c r="S605" s="679">
        <v>19652</v>
      </c>
      <c r="T605" s="678">
        <v>22311</v>
      </c>
      <c r="U605" s="694">
        <f t="shared" si="228"/>
        <v>171875</v>
      </c>
      <c r="V605" s="698">
        <f t="shared" si="229"/>
        <v>199058</v>
      </c>
      <c r="W605" s="714">
        <v>84213</v>
      </c>
      <c r="X605" s="715">
        <v>29459</v>
      </c>
      <c r="Y605" s="714">
        <v>95150</v>
      </c>
      <c r="Z605" s="715">
        <v>23034</v>
      </c>
      <c r="AA605" s="679">
        <v>33176</v>
      </c>
      <c r="AB605" s="678">
        <v>22573</v>
      </c>
      <c r="AC605" s="679">
        <v>23831</v>
      </c>
      <c r="AD605" s="678">
        <v>35327</v>
      </c>
      <c r="AE605" s="694">
        <f t="shared" si="230"/>
        <v>236370</v>
      </c>
      <c r="AF605" s="695">
        <f t="shared" si="221"/>
        <v>262.63333333333333</v>
      </c>
      <c r="AG605" s="696">
        <f t="shared" si="231"/>
        <v>110393</v>
      </c>
      <c r="AH605" s="697">
        <f t="shared" si="222"/>
        <v>122.6588888888889</v>
      </c>
      <c r="AI605" s="679"/>
      <c r="AJ605" s="678"/>
      <c r="AK605" s="694">
        <f t="shared" si="232"/>
        <v>0</v>
      </c>
      <c r="AL605" s="698">
        <f t="shared" si="233"/>
        <v>0</v>
      </c>
      <c r="AM605" s="679"/>
      <c r="AN605" s="678"/>
      <c r="AO605" s="679"/>
      <c r="AP605" s="678"/>
      <c r="AQ605" s="679"/>
      <c r="AR605" s="678"/>
      <c r="AS605" s="679"/>
      <c r="AT605" s="678"/>
      <c r="AU605" s="699">
        <f t="shared" si="223"/>
        <v>0</v>
      </c>
      <c r="AV605" s="695">
        <f t="shared" si="236"/>
        <v>0</v>
      </c>
      <c r="AW605" s="696">
        <f t="shared" si="224"/>
        <v>0</v>
      </c>
      <c r="AX605" s="697">
        <f t="shared" si="225"/>
        <v>0</v>
      </c>
      <c r="AY605" s="700">
        <f t="shared" si="234"/>
        <v>5991.8</v>
      </c>
      <c r="AZ605" s="697">
        <f t="shared" si="235"/>
        <v>6757.9255555555555</v>
      </c>
      <c r="BA605" s="680"/>
    </row>
    <row r="606" spans="1:53">
      <c r="A606" s="154" t="s">
        <v>279</v>
      </c>
      <c r="B606" s="167" t="s">
        <v>316</v>
      </c>
      <c r="C606" s="173">
        <v>227191</v>
      </c>
      <c r="D606" s="150">
        <v>8</v>
      </c>
      <c r="E606" s="148" t="s">
        <v>393</v>
      </c>
      <c r="F606" s="550" t="s">
        <v>393</v>
      </c>
      <c r="G606" s="679">
        <v>71092</v>
      </c>
      <c r="H606" s="678">
        <v>81550</v>
      </c>
      <c r="I606" s="679">
        <v>20970</v>
      </c>
      <c r="J606" s="678">
        <v>18406</v>
      </c>
      <c r="K606" s="679">
        <v>13138</v>
      </c>
      <c r="L606" s="678">
        <v>14936</v>
      </c>
      <c r="M606" s="679">
        <v>74096</v>
      </c>
      <c r="N606" s="678">
        <v>79850</v>
      </c>
      <c r="O606" s="694">
        <f t="shared" si="226"/>
        <v>179296</v>
      </c>
      <c r="P606" s="695">
        <f t="shared" si="237"/>
        <v>5976.5333333333338</v>
      </c>
      <c r="Q606" s="696">
        <f t="shared" si="227"/>
        <v>194742</v>
      </c>
      <c r="R606" s="697">
        <f t="shared" si="220"/>
        <v>6491.4</v>
      </c>
      <c r="S606" s="679">
        <v>11155</v>
      </c>
      <c r="T606" s="678">
        <v>9935</v>
      </c>
      <c r="U606" s="694">
        <f t="shared" si="228"/>
        <v>179296</v>
      </c>
      <c r="V606" s="698">
        <f t="shared" si="229"/>
        <v>194742</v>
      </c>
      <c r="W606" s="679">
        <v>122671</v>
      </c>
      <c r="X606" s="678">
        <v>133552</v>
      </c>
      <c r="Y606" s="679">
        <v>71466</v>
      </c>
      <c r="Z606" s="678">
        <v>64278</v>
      </c>
      <c r="AA606" s="679">
        <v>65638</v>
      </c>
      <c r="AB606" s="678">
        <v>77159</v>
      </c>
      <c r="AC606" s="679">
        <v>167828</v>
      </c>
      <c r="AD606" s="678">
        <v>132752</v>
      </c>
      <c r="AE606" s="694">
        <f t="shared" si="230"/>
        <v>427603</v>
      </c>
      <c r="AF606" s="695">
        <f t="shared" si="221"/>
        <v>475.11444444444442</v>
      </c>
      <c r="AG606" s="696">
        <f t="shared" si="231"/>
        <v>407741</v>
      </c>
      <c r="AH606" s="697">
        <f t="shared" si="222"/>
        <v>453.04555555555555</v>
      </c>
      <c r="AI606" s="679"/>
      <c r="AJ606" s="678"/>
      <c r="AK606" s="694">
        <f t="shared" si="232"/>
        <v>0</v>
      </c>
      <c r="AL606" s="698">
        <f t="shared" si="233"/>
        <v>0</v>
      </c>
      <c r="AM606" s="679"/>
      <c r="AN606" s="678"/>
      <c r="AO606" s="679"/>
      <c r="AP606" s="678"/>
      <c r="AQ606" s="679"/>
      <c r="AR606" s="678"/>
      <c r="AS606" s="679"/>
      <c r="AT606" s="678"/>
      <c r="AU606" s="699">
        <f t="shared" si="223"/>
        <v>0</v>
      </c>
      <c r="AV606" s="695">
        <f t="shared" si="236"/>
        <v>0</v>
      </c>
      <c r="AW606" s="696">
        <f t="shared" si="224"/>
        <v>0</v>
      </c>
      <c r="AX606" s="697">
        <f t="shared" si="225"/>
        <v>0</v>
      </c>
      <c r="AY606" s="700">
        <f t="shared" si="234"/>
        <v>6451.6477777777782</v>
      </c>
      <c r="AZ606" s="697">
        <f t="shared" si="235"/>
        <v>6944.4455555555551</v>
      </c>
      <c r="BA606" s="680"/>
    </row>
    <row r="607" spans="1:53">
      <c r="A607" s="154" t="s">
        <v>279</v>
      </c>
      <c r="B607" s="168" t="s">
        <v>317</v>
      </c>
      <c r="C607" s="173">
        <v>420398</v>
      </c>
      <c r="D607" s="150">
        <v>8</v>
      </c>
      <c r="E607" s="148" t="s">
        <v>393</v>
      </c>
      <c r="F607" s="550" t="s">
        <v>393</v>
      </c>
      <c r="G607" s="679">
        <v>86824</v>
      </c>
      <c r="H607" s="678">
        <v>102572</v>
      </c>
      <c r="I607" s="679">
        <v>25039</v>
      </c>
      <c r="J607" s="678">
        <v>31359</v>
      </c>
      <c r="K607" s="679">
        <v>3266</v>
      </c>
      <c r="L607" s="678">
        <v>4207</v>
      </c>
      <c r="M607" s="679">
        <v>99467</v>
      </c>
      <c r="N607" s="678">
        <v>119922</v>
      </c>
      <c r="O607" s="694">
        <f t="shared" si="226"/>
        <v>214596</v>
      </c>
      <c r="P607" s="695">
        <f t="shared" si="237"/>
        <v>7153.2</v>
      </c>
      <c r="Q607" s="696">
        <f t="shared" si="227"/>
        <v>258060</v>
      </c>
      <c r="R607" s="697">
        <f t="shared" si="220"/>
        <v>8602</v>
      </c>
      <c r="S607" s="679">
        <v>15928</v>
      </c>
      <c r="T607" s="678">
        <v>20060</v>
      </c>
      <c r="U607" s="694">
        <f t="shared" si="228"/>
        <v>214596</v>
      </c>
      <c r="V607" s="698">
        <f t="shared" si="229"/>
        <v>258060</v>
      </c>
      <c r="W607" s="679">
        <v>18855</v>
      </c>
      <c r="X607" s="678">
        <v>17432</v>
      </c>
      <c r="Y607" s="679">
        <v>4189</v>
      </c>
      <c r="Z607" s="678">
        <v>2059</v>
      </c>
      <c r="AA607" s="679">
        <v>8255</v>
      </c>
      <c r="AB607" s="678">
        <v>14453</v>
      </c>
      <c r="AC607" s="679">
        <v>35907</v>
      </c>
      <c r="AD607" s="678">
        <v>25708</v>
      </c>
      <c r="AE607" s="694">
        <f t="shared" si="230"/>
        <v>67206</v>
      </c>
      <c r="AF607" s="695">
        <f t="shared" si="221"/>
        <v>74.673333333333332</v>
      </c>
      <c r="AG607" s="696">
        <f t="shared" si="231"/>
        <v>59652</v>
      </c>
      <c r="AH607" s="697">
        <f t="shared" si="222"/>
        <v>66.28</v>
      </c>
      <c r="AI607" s="679"/>
      <c r="AJ607" s="678"/>
      <c r="AK607" s="694">
        <f t="shared" si="232"/>
        <v>0</v>
      </c>
      <c r="AL607" s="698">
        <f t="shared" si="233"/>
        <v>0</v>
      </c>
      <c r="AM607" s="679"/>
      <c r="AN607" s="678"/>
      <c r="AO607" s="679"/>
      <c r="AP607" s="678"/>
      <c r="AQ607" s="679"/>
      <c r="AR607" s="678"/>
      <c r="AS607" s="679"/>
      <c r="AT607" s="678"/>
      <c r="AU607" s="699">
        <f t="shared" si="223"/>
        <v>0</v>
      </c>
      <c r="AV607" s="695">
        <f t="shared" si="236"/>
        <v>0</v>
      </c>
      <c r="AW607" s="696">
        <f t="shared" si="224"/>
        <v>0</v>
      </c>
      <c r="AX607" s="697">
        <f t="shared" si="225"/>
        <v>0</v>
      </c>
      <c r="AY607" s="700">
        <f t="shared" si="234"/>
        <v>7227.873333333333</v>
      </c>
      <c r="AZ607" s="697">
        <f t="shared" si="235"/>
        <v>8668.2800000000007</v>
      </c>
      <c r="BA607" s="680"/>
    </row>
    <row r="608" spans="1:53">
      <c r="A608" s="154" t="s">
        <v>279</v>
      </c>
      <c r="B608" s="168" t="s">
        <v>318</v>
      </c>
      <c r="C608" s="173">
        <v>246354</v>
      </c>
      <c r="D608" s="150">
        <v>8</v>
      </c>
      <c r="E608" s="148" t="s">
        <v>393</v>
      </c>
      <c r="F608" s="550" t="s">
        <v>393</v>
      </c>
      <c r="G608" s="679">
        <v>63996</v>
      </c>
      <c r="H608" s="678">
        <v>65603</v>
      </c>
      <c r="I608" s="679">
        <v>16135</v>
      </c>
      <c r="J608" s="678">
        <v>17551</v>
      </c>
      <c r="K608" s="679">
        <v>5384</v>
      </c>
      <c r="L608" s="678">
        <v>6382</v>
      </c>
      <c r="M608" s="679">
        <v>66314</v>
      </c>
      <c r="N608" s="678">
        <v>70365</v>
      </c>
      <c r="O608" s="694">
        <f t="shared" si="226"/>
        <v>151829</v>
      </c>
      <c r="P608" s="695">
        <f t="shared" si="237"/>
        <v>5060.9666666666662</v>
      </c>
      <c r="Q608" s="696">
        <f t="shared" si="227"/>
        <v>159901</v>
      </c>
      <c r="R608" s="697">
        <f t="shared" si="220"/>
        <v>5330.0333333333338</v>
      </c>
      <c r="S608" s="679">
        <v>13038</v>
      </c>
      <c r="T608" s="678">
        <v>15069</v>
      </c>
      <c r="U608" s="694">
        <f t="shared" si="228"/>
        <v>151829</v>
      </c>
      <c r="V608" s="698">
        <f t="shared" si="229"/>
        <v>159901</v>
      </c>
      <c r="W608" s="679">
        <v>61827</v>
      </c>
      <c r="X608" s="678">
        <v>54654</v>
      </c>
      <c r="Y608" s="679">
        <v>43408</v>
      </c>
      <c r="Z608" s="678">
        <v>29563</v>
      </c>
      <c r="AA608" s="679">
        <v>53657</v>
      </c>
      <c r="AB608" s="678">
        <v>39686</v>
      </c>
      <c r="AC608" s="679">
        <v>85165</v>
      </c>
      <c r="AD608" s="678">
        <v>63608</v>
      </c>
      <c r="AE608" s="694">
        <f t="shared" si="230"/>
        <v>244057</v>
      </c>
      <c r="AF608" s="695">
        <f t="shared" si="221"/>
        <v>271.17444444444442</v>
      </c>
      <c r="AG608" s="696">
        <f t="shared" si="231"/>
        <v>187511</v>
      </c>
      <c r="AH608" s="697">
        <f t="shared" si="222"/>
        <v>208.34555555555556</v>
      </c>
      <c r="AI608" s="679"/>
      <c r="AJ608" s="678"/>
      <c r="AK608" s="694">
        <f t="shared" si="232"/>
        <v>0</v>
      </c>
      <c r="AL608" s="698">
        <f t="shared" si="233"/>
        <v>0</v>
      </c>
      <c r="AM608" s="679"/>
      <c r="AN608" s="678"/>
      <c r="AO608" s="679"/>
      <c r="AP608" s="678"/>
      <c r="AQ608" s="679"/>
      <c r="AR608" s="678"/>
      <c r="AS608" s="679"/>
      <c r="AT608" s="678"/>
      <c r="AU608" s="699">
        <f t="shared" si="223"/>
        <v>0</v>
      </c>
      <c r="AV608" s="695">
        <f t="shared" si="236"/>
        <v>0</v>
      </c>
      <c r="AW608" s="696">
        <f t="shared" si="224"/>
        <v>0</v>
      </c>
      <c r="AX608" s="697">
        <f t="shared" si="225"/>
        <v>0</v>
      </c>
      <c r="AY608" s="700">
        <f t="shared" si="234"/>
        <v>5332.1411111111111</v>
      </c>
      <c r="AZ608" s="697">
        <f t="shared" si="235"/>
        <v>5538.3788888888894</v>
      </c>
      <c r="BA608" s="680"/>
    </row>
    <row r="609" spans="1:53">
      <c r="A609" s="154" t="s">
        <v>279</v>
      </c>
      <c r="B609" s="167" t="s">
        <v>319</v>
      </c>
      <c r="C609" s="173">
        <v>227766</v>
      </c>
      <c r="D609" s="150">
        <v>8</v>
      </c>
      <c r="E609" s="148" t="s">
        <v>393</v>
      </c>
      <c r="F609" s="550" t="s">
        <v>393</v>
      </c>
      <c r="G609" s="679">
        <v>108744</v>
      </c>
      <c r="H609" s="678">
        <v>126875</v>
      </c>
      <c r="I609" s="714">
        <v>44226</v>
      </c>
      <c r="J609" s="715">
        <v>26444</v>
      </c>
      <c r="K609" s="714">
        <v>20609</v>
      </c>
      <c r="L609" s="715">
        <v>47657</v>
      </c>
      <c r="M609" s="679">
        <v>105202</v>
      </c>
      <c r="N609" s="678">
        <v>118130</v>
      </c>
      <c r="O609" s="694">
        <f t="shared" si="226"/>
        <v>278781</v>
      </c>
      <c r="P609" s="695">
        <f t="shared" si="237"/>
        <v>9292.7000000000007</v>
      </c>
      <c r="Q609" s="696">
        <f t="shared" si="227"/>
        <v>319106</v>
      </c>
      <c r="R609" s="697">
        <f t="shared" si="220"/>
        <v>10636.866666666667</v>
      </c>
      <c r="S609" s="679">
        <v>20055</v>
      </c>
      <c r="T609" s="678">
        <v>27587</v>
      </c>
      <c r="U609" s="694">
        <f t="shared" si="228"/>
        <v>278781</v>
      </c>
      <c r="V609" s="698">
        <f t="shared" si="229"/>
        <v>319106</v>
      </c>
      <c r="W609" s="679">
        <v>151151</v>
      </c>
      <c r="X609" s="678">
        <v>165438</v>
      </c>
      <c r="Y609" s="679">
        <v>183877</v>
      </c>
      <c r="Z609" s="678">
        <v>185586</v>
      </c>
      <c r="AA609" s="679">
        <v>172059</v>
      </c>
      <c r="AB609" s="678">
        <v>193055</v>
      </c>
      <c r="AC609" s="679">
        <v>238614</v>
      </c>
      <c r="AD609" s="678">
        <v>235352</v>
      </c>
      <c r="AE609" s="694">
        <f t="shared" si="230"/>
        <v>745701</v>
      </c>
      <c r="AF609" s="695">
        <f t="shared" si="221"/>
        <v>828.55666666666662</v>
      </c>
      <c r="AG609" s="696">
        <f t="shared" si="231"/>
        <v>779431</v>
      </c>
      <c r="AH609" s="697">
        <f t="shared" si="222"/>
        <v>866.03444444444449</v>
      </c>
      <c r="AI609" s="679"/>
      <c r="AJ609" s="678"/>
      <c r="AK609" s="694">
        <f t="shared" si="232"/>
        <v>0</v>
      </c>
      <c r="AL609" s="698">
        <f t="shared" si="233"/>
        <v>0</v>
      </c>
      <c r="AM609" s="679"/>
      <c r="AN609" s="678"/>
      <c r="AO609" s="679"/>
      <c r="AP609" s="678"/>
      <c r="AQ609" s="679"/>
      <c r="AR609" s="678"/>
      <c r="AS609" s="679"/>
      <c r="AT609" s="678"/>
      <c r="AU609" s="699">
        <f t="shared" si="223"/>
        <v>0</v>
      </c>
      <c r="AV609" s="695">
        <f t="shared" si="236"/>
        <v>0</v>
      </c>
      <c r="AW609" s="696">
        <f t="shared" si="224"/>
        <v>0</v>
      </c>
      <c r="AX609" s="697">
        <f t="shared" si="225"/>
        <v>0</v>
      </c>
      <c r="AY609" s="700">
        <f t="shared" si="234"/>
        <v>10121.256666666668</v>
      </c>
      <c r="AZ609" s="697">
        <f t="shared" si="235"/>
        <v>11502.90111111111</v>
      </c>
      <c r="BA609" s="680"/>
    </row>
    <row r="610" spans="1:53">
      <c r="A610" s="556" t="s">
        <v>279</v>
      </c>
      <c r="B610" s="168" t="s">
        <v>320</v>
      </c>
      <c r="C610" s="173">
        <v>227924</v>
      </c>
      <c r="D610" s="152">
        <v>8</v>
      </c>
      <c r="E610" s="148" t="s">
        <v>393</v>
      </c>
      <c r="F610" s="550" t="s">
        <v>393</v>
      </c>
      <c r="G610" s="679">
        <v>183907</v>
      </c>
      <c r="H610" s="678">
        <v>192854</v>
      </c>
      <c r="I610" s="679">
        <v>45960</v>
      </c>
      <c r="J610" s="678">
        <v>52442</v>
      </c>
      <c r="K610" s="679">
        <v>18125</v>
      </c>
      <c r="L610" s="678">
        <v>19124</v>
      </c>
      <c r="M610" s="679">
        <v>185459</v>
      </c>
      <c r="N610" s="678">
        <v>204885</v>
      </c>
      <c r="O610" s="694">
        <f t="shared" si="226"/>
        <v>433451</v>
      </c>
      <c r="P610" s="695">
        <f t="shared" si="237"/>
        <v>14448.366666666667</v>
      </c>
      <c r="Q610" s="696">
        <f t="shared" si="227"/>
        <v>469305</v>
      </c>
      <c r="R610" s="697">
        <f t="shared" si="220"/>
        <v>15643.5</v>
      </c>
      <c r="S610" s="679">
        <v>18352</v>
      </c>
      <c r="T610" s="678">
        <v>19315</v>
      </c>
      <c r="U610" s="694">
        <f t="shared" si="228"/>
        <v>433451</v>
      </c>
      <c r="V610" s="698">
        <f t="shared" si="229"/>
        <v>469305</v>
      </c>
      <c r="W610" s="679">
        <v>98954</v>
      </c>
      <c r="X610" s="678">
        <v>119224</v>
      </c>
      <c r="Y610" s="679">
        <v>78124</v>
      </c>
      <c r="Z610" s="678">
        <v>96105</v>
      </c>
      <c r="AA610" s="679">
        <v>104905</v>
      </c>
      <c r="AB610" s="678">
        <v>119486</v>
      </c>
      <c r="AC610" s="679">
        <v>137060</v>
      </c>
      <c r="AD610" s="678">
        <v>113484</v>
      </c>
      <c r="AE610" s="694">
        <f t="shared" si="230"/>
        <v>419043</v>
      </c>
      <c r="AF610" s="695">
        <f t="shared" si="221"/>
        <v>465.60333333333335</v>
      </c>
      <c r="AG610" s="696">
        <f t="shared" si="231"/>
        <v>448299</v>
      </c>
      <c r="AH610" s="697">
        <f t="shared" si="222"/>
        <v>498.11</v>
      </c>
      <c r="AI610" s="679"/>
      <c r="AJ610" s="678"/>
      <c r="AK610" s="694">
        <f t="shared" si="232"/>
        <v>0</v>
      </c>
      <c r="AL610" s="698">
        <f t="shared" si="233"/>
        <v>0</v>
      </c>
      <c r="AM610" s="679"/>
      <c r="AN610" s="678"/>
      <c r="AO610" s="679"/>
      <c r="AP610" s="678"/>
      <c r="AQ610" s="679"/>
      <c r="AR610" s="678"/>
      <c r="AS610" s="679"/>
      <c r="AT610" s="678"/>
      <c r="AU610" s="699">
        <f t="shared" si="223"/>
        <v>0</v>
      </c>
      <c r="AV610" s="695">
        <f t="shared" si="236"/>
        <v>0</v>
      </c>
      <c r="AW610" s="696">
        <f t="shared" si="224"/>
        <v>0</v>
      </c>
      <c r="AX610" s="697">
        <f t="shared" si="225"/>
        <v>0</v>
      </c>
      <c r="AY610" s="700">
        <f t="shared" si="234"/>
        <v>14913.97</v>
      </c>
      <c r="AZ610" s="697">
        <f t="shared" si="235"/>
        <v>16141.61</v>
      </c>
      <c r="BA610" s="680"/>
    </row>
    <row r="611" spans="1:53">
      <c r="A611" s="154" t="s">
        <v>279</v>
      </c>
      <c r="B611" s="154" t="s">
        <v>321</v>
      </c>
      <c r="C611" s="173">
        <v>227979</v>
      </c>
      <c r="D611" s="150">
        <v>8</v>
      </c>
      <c r="E611" s="148" t="s">
        <v>393</v>
      </c>
      <c r="F611" s="550" t="s">
        <v>393</v>
      </c>
      <c r="G611" s="679">
        <v>198622</v>
      </c>
      <c r="H611" s="678">
        <v>207844</v>
      </c>
      <c r="I611" s="679">
        <v>55959</v>
      </c>
      <c r="J611" s="678">
        <v>60140</v>
      </c>
      <c r="K611" s="679">
        <v>0</v>
      </c>
      <c r="L611" s="678">
        <v>0</v>
      </c>
      <c r="M611" s="679">
        <v>234474</v>
      </c>
      <c r="N611" s="678">
        <v>255193</v>
      </c>
      <c r="O611" s="694">
        <f t="shared" si="226"/>
        <v>489055</v>
      </c>
      <c r="P611" s="695">
        <f t="shared" si="237"/>
        <v>16301.833333333334</v>
      </c>
      <c r="Q611" s="696">
        <f t="shared" si="227"/>
        <v>523177</v>
      </c>
      <c r="R611" s="697">
        <f t="shared" si="220"/>
        <v>17439.233333333334</v>
      </c>
      <c r="S611" s="679">
        <v>22068</v>
      </c>
      <c r="T611" s="678">
        <v>24957</v>
      </c>
      <c r="U611" s="694">
        <f t="shared" si="228"/>
        <v>489055</v>
      </c>
      <c r="V611" s="698">
        <f t="shared" si="229"/>
        <v>523177</v>
      </c>
      <c r="W611" s="679">
        <v>131006</v>
      </c>
      <c r="X611" s="678">
        <v>118717</v>
      </c>
      <c r="Y611" s="679">
        <v>87803</v>
      </c>
      <c r="Z611" s="678">
        <v>57597</v>
      </c>
      <c r="AA611" s="679">
        <v>131353</v>
      </c>
      <c r="AB611" s="678">
        <v>121719</v>
      </c>
      <c r="AC611" s="679">
        <v>134299</v>
      </c>
      <c r="AD611" s="678">
        <v>98805</v>
      </c>
      <c r="AE611" s="694">
        <f t="shared" si="230"/>
        <v>484461</v>
      </c>
      <c r="AF611" s="695">
        <f t="shared" si="221"/>
        <v>538.29</v>
      </c>
      <c r="AG611" s="696">
        <f t="shared" si="231"/>
        <v>396838</v>
      </c>
      <c r="AH611" s="697">
        <f t="shared" si="222"/>
        <v>440.93111111111114</v>
      </c>
      <c r="AI611" s="679"/>
      <c r="AJ611" s="678"/>
      <c r="AK611" s="694">
        <f t="shared" si="232"/>
        <v>0</v>
      </c>
      <c r="AL611" s="698">
        <f t="shared" si="233"/>
        <v>0</v>
      </c>
      <c r="AM611" s="679"/>
      <c r="AN611" s="678"/>
      <c r="AO611" s="679"/>
      <c r="AP611" s="678"/>
      <c r="AQ611" s="679"/>
      <c r="AR611" s="678"/>
      <c r="AS611" s="679"/>
      <c r="AT611" s="678"/>
      <c r="AU611" s="699">
        <f t="shared" si="223"/>
        <v>0</v>
      </c>
      <c r="AV611" s="695">
        <f t="shared" si="236"/>
        <v>0</v>
      </c>
      <c r="AW611" s="696">
        <f t="shared" si="224"/>
        <v>0</v>
      </c>
      <c r="AX611" s="697">
        <f t="shared" si="225"/>
        <v>0</v>
      </c>
      <c r="AY611" s="700">
        <f t="shared" si="234"/>
        <v>16840.123333333333</v>
      </c>
      <c r="AZ611" s="697">
        <f t="shared" si="235"/>
        <v>17880.164444444446</v>
      </c>
      <c r="BA611" s="680"/>
    </row>
    <row r="612" spans="1:53">
      <c r="A612" s="154" t="s">
        <v>279</v>
      </c>
      <c r="B612" s="154" t="s">
        <v>322</v>
      </c>
      <c r="C612" s="173">
        <v>228158</v>
      </c>
      <c r="D612" s="150">
        <v>8</v>
      </c>
      <c r="E612" s="148" t="s">
        <v>393</v>
      </c>
      <c r="F612" s="550" t="s">
        <v>393</v>
      </c>
      <c r="G612" s="679">
        <v>84718</v>
      </c>
      <c r="H612" s="678">
        <v>87535</v>
      </c>
      <c r="I612" s="679">
        <v>12826</v>
      </c>
      <c r="J612" s="678">
        <v>13464</v>
      </c>
      <c r="K612" s="679">
        <v>5753</v>
      </c>
      <c r="L612" s="678">
        <v>6439</v>
      </c>
      <c r="M612" s="679">
        <v>88697</v>
      </c>
      <c r="N612" s="678">
        <v>95842</v>
      </c>
      <c r="O612" s="694">
        <f t="shared" si="226"/>
        <v>191994</v>
      </c>
      <c r="P612" s="695">
        <f t="shared" si="237"/>
        <v>6399.8</v>
      </c>
      <c r="Q612" s="696">
        <f t="shared" si="227"/>
        <v>203280</v>
      </c>
      <c r="R612" s="697">
        <f t="shared" si="220"/>
        <v>6776</v>
      </c>
      <c r="S612" s="679">
        <v>18520</v>
      </c>
      <c r="T612" s="678">
        <v>22047</v>
      </c>
      <c r="U612" s="694">
        <f t="shared" si="228"/>
        <v>191994</v>
      </c>
      <c r="V612" s="698">
        <f t="shared" si="229"/>
        <v>203280</v>
      </c>
      <c r="W612" s="679">
        <v>42001</v>
      </c>
      <c r="X612" s="678">
        <v>50257</v>
      </c>
      <c r="Y612" s="679">
        <v>54767</v>
      </c>
      <c r="Z612" s="678">
        <v>70218</v>
      </c>
      <c r="AA612" s="679">
        <v>50661</v>
      </c>
      <c r="AB612" s="678">
        <v>56006</v>
      </c>
      <c r="AC612" s="679">
        <v>73789</v>
      </c>
      <c r="AD612" s="678">
        <v>90304</v>
      </c>
      <c r="AE612" s="694">
        <f t="shared" si="230"/>
        <v>221218</v>
      </c>
      <c r="AF612" s="695">
        <f t="shared" si="221"/>
        <v>245.79777777777778</v>
      </c>
      <c r="AG612" s="696">
        <f t="shared" si="231"/>
        <v>266785</v>
      </c>
      <c r="AH612" s="697">
        <f t="shared" si="222"/>
        <v>296.42777777777781</v>
      </c>
      <c r="AI612" s="679"/>
      <c r="AJ612" s="678"/>
      <c r="AK612" s="694">
        <f t="shared" si="232"/>
        <v>0</v>
      </c>
      <c r="AL612" s="698">
        <f t="shared" si="233"/>
        <v>0</v>
      </c>
      <c r="AM612" s="679"/>
      <c r="AN612" s="678"/>
      <c r="AO612" s="679"/>
      <c r="AP612" s="678"/>
      <c r="AQ612" s="679"/>
      <c r="AR612" s="678"/>
      <c r="AS612" s="679"/>
      <c r="AT612" s="678"/>
      <c r="AU612" s="699">
        <f t="shared" si="223"/>
        <v>0</v>
      </c>
      <c r="AV612" s="695">
        <f t="shared" si="236"/>
        <v>0</v>
      </c>
      <c r="AW612" s="696">
        <f t="shared" si="224"/>
        <v>0</v>
      </c>
      <c r="AX612" s="697">
        <f t="shared" si="225"/>
        <v>0</v>
      </c>
      <c r="AY612" s="700">
        <f t="shared" si="234"/>
        <v>6645.597777777778</v>
      </c>
      <c r="AZ612" s="697">
        <f t="shared" si="235"/>
        <v>7072.4277777777779</v>
      </c>
      <c r="BA612" s="680"/>
    </row>
    <row r="613" spans="1:53">
      <c r="A613" s="154" t="s">
        <v>279</v>
      </c>
      <c r="B613" s="168" t="s">
        <v>324</v>
      </c>
      <c r="C613" s="173">
        <v>227854</v>
      </c>
      <c r="D613" s="150">
        <v>8</v>
      </c>
      <c r="E613" s="148" t="s">
        <v>393</v>
      </c>
      <c r="F613" s="550" t="s">
        <v>393</v>
      </c>
      <c r="G613" s="679">
        <v>85644</v>
      </c>
      <c r="H613" s="678">
        <v>89654</v>
      </c>
      <c r="I613" s="679">
        <v>26641</v>
      </c>
      <c r="J613" s="678">
        <v>27557</v>
      </c>
      <c r="K613" s="679">
        <v>5878</v>
      </c>
      <c r="L613" s="678">
        <v>7235</v>
      </c>
      <c r="M613" s="679">
        <v>82104</v>
      </c>
      <c r="N613" s="678">
        <v>89515</v>
      </c>
      <c r="O613" s="694">
        <f t="shared" si="226"/>
        <v>200267</v>
      </c>
      <c r="P613" s="695">
        <f t="shared" si="237"/>
        <v>6675.5666666666666</v>
      </c>
      <c r="Q613" s="696">
        <f t="shared" si="227"/>
        <v>213961</v>
      </c>
      <c r="R613" s="697">
        <f t="shared" si="220"/>
        <v>7132.0333333333338</v>
      </c>
      <c r="S613" s="679">
        <v>11866</v>
      </c>
      <c r="T613" s="678">
        <v>15564</v>
      </c>
      <c r="U613" s="694">
        <f t="shared" si="228"/>
        <v>200267</v>
      </c>
      <c r="V613" s="698">
        <f t="shared" si="229"/>
        <v>213961</v>
      </c>
      <c r="W613" s="679">
        <v>26372</v>
      </c>
      <c r="X613" s="678">
        <v>28450</v>
      </c>
      <c r="Y613" s="679">
        <v>21378</v>
      </c>
      <c r="Z613" s="678">
        <v>17667</v>
      </c>
      <c r="AA613" s="679">
        <v>26591</v>
      </c>
      <c r="AB613" s="678">
        <v>23701</v>
      </c>
      <c r="AC613" s="679">
        <v>38966</v>
      </c>
      <c r="AD613" s="678">
        <v>31370</v>
      </c>
      <c r="AE613" s="694">
        <f t="shared" si="230"/>
        <v>113307</v>
      </c>
      <c r="AF613" s="695">
        <f t="shared" si="221"/>
        <v>125.89666666666666</v>
      </c>
      <c r="AG613" s="696">
        <f t="shared" si="231"/>
        <v>101188</v>
      </c>
      <c r="AH613" s="697">
        <f t="shared" si="222"/>
        <v>112.43111111111111</v>
      </c>
      <c r="AI613" s="679"/>
      <c r="AJ613" s="678"/>
      <c r="AK613" s="694">
        <f t="shared" si="232"/>
        <v>0</v>
      </c>
      <c r="AL613" s="698">
        <f t="shared" si="233"/>
        <v>0</v>
      </c>
      <c r="AM613" s="679"/>
      <c r="AN613" s="678"/>
      <c r="AO613" s="679"/>
      <c r="AP613" s="678"/>
      <c r="AQ613" s="679"/>
      <c r="AR613" s="678"/>
      <c r="AS613" s="679"/>
      <c r="AT613" s="678"/>
      <c r="AU613" s="699">
        <f t="shared" si="223"/>
        <v>0</v>
      </c>
      <c r="AV613" s="695">
        <f t="shared" si="236"/>
        <v>0</v>
      </c>
      <c r="AW613" s="696">
        <f t="shared" si="224"/>
        <v>0</v>
      </c>
      <c r="AX613" s="697">
        <f t="shared" si="225"/>
        <v>0</v>
      </c>
      <c r="AY613" s="700">
        <f t="shared" si="234"/>
        <v>6801.4633333333331</v>
      </c>
      <c r="AZ613" s="697">
        <f t="shared" si="235"/>
        <v>7244.4644444444448</v>
      </c>
      <c r="BA613" s="680"/>
    </row>
    <row r="614" spans="1:53">
      <c r="A614" s="154" t="s">
        <v>279</v>
      </c>
      <c r="B614" s="154" t="s">
        <v>325</v>
      </c>
      <c r="C614" s="173">
        <v>228547</v>
      </c>
      <c r="D614" s="150">
        <v>8</v>
      </c>
      <c r="E614" s="148" t="s">
        <v>393</v>
      </c>
      <c r="F614" s="550" t="s">
        <v>393</v>
      </c>
      <c r="G614" s="679">
        <v>293520</v>
      </c>
      <c r="H614" s="678">
        <v>327976</v>
      </c>
      <c r="I614" s="679">
        <v>135531</v>
      </c>
      <c r="J614" s="678">
        <v>147887</v>
      </c>
      <c r="K614" s="679">
        <v>0</v>
      </c>
      <c r="L614" s="678">
        <v>0</v>
      </c>
      <c r="M614" s="679">
        <v>314581</v>
      </c>
      <c r="N614" s="687">
        <v>351959</v>
      </c>
      <c r="O614" s="694">
        <f t="shared" si="226"/>
        <v>743632</v>
      </c>
      <c r="P614" s="695">
        <f t="shared" si="237"/>
        <v>24787.733333333334</v>
      </c>
      <c r="Q614" s="696">
        <f t="shared" si="227"/>
        <v>827822</v>
      </c>
      <c r="R614" s="697">
        <f t="shared" si="220"/>
        <v>27594.066666666666</v>
      </c>
      <c r="S614" s="679">
        <v>20175</v>
      </c>
      <c r="T614" s="678">
        <v>30647</v>
      </c>
      <c r="U614" s="694">
        <f t="shared" si="228"/>
        <v>743632</v>
      </c>
      <c r="V614" s="698">
        <f t="shared" si="229"/>
        <v>827822</v>
      </c>
      <c r="W614" s="679">
        <v>154477</v>
      </c>
      <c r="X614" s="678">
        <v>195452</v>
      </c>
      <c r="Y614" s="679">
        <v>142443</v>
      </c>
      <c r="Z614" s="678">
        <v>173085</v>
      </c>
      <c r="AA614" s="679">
        <v>147109</v>
      </c>
      <c r="AB614" s="678">
        <v>152645</v>
      </c>
      <c r="AC614" s="679">
        <v>216751</v>
      </c>
      <c r="AD614" s="678">
        <v>220114</v>
      </c>
      <c r="AE614" s="694">
        <f t="shared" si="230"/>
        <v>660780</v>
      </c>
      <c r="AF614" s="695">
        <f t="shared" si="221"/>
        <v>734.2</v>
      </c>
      <c r="AG614" s="696">
        <f t="shared" si="231"/>
        <v>741296</v>
      </c>
      <c r="AH614" s="697">
        <f t="shared" si="222"/>
        <v>823.66222222222223</v>
      </c>
      <c r="AI614" s="679"/>
      <c r="AJ614" s="678"/>
      <c r="AK614" s="694">
        <f t="shared" si="232"/>
        <v>0</v>
      </c>
      <c r="AL614" s="698">
        <f t="shared" si="233"/>
        <v>0</v>
      </c>
      <c r="AM614" s="679"/>
      <c r="AN614" s="678"/>
      <c r="AO614" s="679"/>
      <c r="AP614" s="678"/>
      <c r="AQ614" s="679"/>
      <c r="AR614" s="678"/>
      <c r="AS614" s="679"/>
      <c r="AT614" s="678"/>
      <c r="AU614" s="699">
        <f t="shared" si="223"/>
        <v>0</v>
      </c>
      <c r="AV614" s="695">
        <f t="shared" si="236"/>
        <v>0</v>
      </c>
      <c r="AW614" s="696">
        <f t="shared" si="224"/>
        <v>0</v>
      </c>
      <c r="AX614" s="697">
        <f t="shared" si="225"/>
        <v>0</v>
      </c>
      <c r="AY614" s="700">
        <f t="shared" si="234"/>
        <v>25521.933333333334</v>
      </c>
      <c r="AZ614" s="697">
        <f t="shared" si="235"/>
        <v>28417.728888888887</v>
      </c>
      <c r="BA614" s="680"/>
    </row>
    <row r="615" spans="1:53">
      <c r="A615" s="154" t="s">
        <v>279</v>
      </c>
      <c r="B615" s="154" t="s">
        <v>326</v>
      </c>
      <c r="C615" s="173">
        <v>229072</v>
      </c>
      <c r="D615" s="150">
        <v>8</v>
      </c>
      <c r="E615" s="148" t="s">
        <v>393</v>
      </c>
      <c r="F615" s="550" t="s">
        <v>393</v>
      </c>
      <c r="G615" s="679">
        <v>74555</v>
      </c>
      <c r="H615" s="678">
        <v>72501</v>
      </c>
      <c r="I615" s="679">
        <v>13205</v>
      </c>
      <c r="J615" s="678">
        <v>11906</v>
      </c>
      <c r="K615" s="679">
        <v>7766</v>
      </c>
      <c r="L615" s="678">
        <v>7413</v>
      </c>
      <c r="M615" s="679">
        <v>86511</v>
      </c>
      <c r="N615" s="687">
        <v>89455</v>
      </c>
      <c r="O615" s="694">
        <f t="shared" si="226"/>
        <v>182037</v>
      </c>
      <c r="P615" s="695">
        <f t="shared" si="237"/>
        <v>6067.9</v>
      </c>
      <c r="Q615" s="696">
        <f t="shared" si="227"/>
        <v>181275</v>
      </c>
      <c r="R615" s="697">
        <f t="shared" ref="R615:R719" si="238">+Q615/30</f>
        <v>6042.5</v>
      </c>
      <c r="S615" s="679">
        <v>30751</v>
      </c>
      <c r="T615" s="678">
        <v>25757</v>
      </c>
      <c r="U615" s="694">
        <f t="shared" si="228"/>
        <v>182037</v>
      </c>
      <c r="V615" s="698">
        <f t="shared" si="229"/>
        <v>181275</v>
      </c>
      <c r="W615" s="679">
        <v>13640</v>
      </c>
      <c r="X615" s="678">
        <v>16709</v>
      </c>
      <c r="Y615" s="679">
        <v>12688</v>
      </c>
      <c r="Z615" s="678">
        <v>13451</v>
      </c>
      <c r="AA615" s="679">
        <v>15941</v>
      </c>
      <c r="AB615" s="678">
        <v>19410</v>
      </c>
      <c r="AC615" s="679">
        <v>12966</v>
      </c>
      <c r="AD615" s="678">
        <v>15747</v>
      </c>
      <c r="AE615" s="694">
        <f t="shared" si="230"/>
        <v>55235</v>
      </c>
      <c r="AF615" s="695">
        <f t="shared" ref="AF615:AF719" si="239">+AE615/900</f>
        <v>61.37222222222222</v>
      </c>
      <c r="AG615" s="696">
        <f t="shared" si="231"/>
        <v>65317</v>
      </c>
      <c r="AH615" s="697">
        <f t="shared" ref="AH615:AH719" si="240">+AG615/900</f>
        <v>72.574444444444438</v>
      </c>
      <c r="AI615" s="679"/>
      <c r="AJ615" s="678"/>
      <c r="AK615" s="694">
        <f t="shared" si="232"/>
        <v>0</v>
      </c>
      <c r="AL615" s="698">
        <f t="shared" si="233"/>
        <v>0</v>
      </c>
      <c r="AM615" s="679"/>
      <c r="AN615" s="678"/>
      <c r="AO615" s="679"/>
      <c r="AP615" s="678"/>
      <c r="AQ615" s="679"/>
      <c r="AR615" s="678"/>
      <c r="AS615" s="679"/>
      <c r="AT615" s="678"/>
      <c r="AU615" s="699">
        <f t="shared" ref="AU615:AU719" si="241">SUM(AM615,AO615,AQ615,AS615)</f>
        <v>0</v>
      </c>
      <c r="AV615" s="695">
        <f t="shared" si="236"/>
        <v>0</v>
      </c>
      <c r="AW615" s="696">
        <f t="shared" ref="AW615:AW719" si="242">SUM(AN615,AP615,AR615,AT615)</f>
        <v>0</v>
      </c>
      <c r="AX615" s="697">
        <f t="shared" ref="AX615:AX719" si="243">+AW615/24</f>
        <v>0</v>
      </c>
      <c r="AY615" s="700">
        <f t="shared" si="234"/>
        <v>6129.2722222222219</v>
      </c>
      <c r="AZ615" s="697">
        <f t="shared" si="235"/>
        <v>6115.0744444444445</v>
      </c>
      <c r="BA615" s="680"/>
    </row>
    <row r="616" spans="1:53">
      <c r="A616" s="154" t="s">
        <v>279</v>
      </c>
      <c r="B616" s="154" t="s">
        <v>327</v>
      </c>
      <c r="C616" s="173">
        <v>229355</v>
      </c>
      <c r="D616" s="150">
        <v>8</v>
      </c>
      <c r="E616" s="148" t="s">
        <v>393</v>
      </c>
      <c r="F616" s="550" t="s">
        <v>393</v>
      </c>
      <c r="G616" s="679">
        <v>89074</v>
      </c>
      <c r="H616" s="678">
        <v>96104</v>
      </c>
      <c r="I616" s="679">
        <v>19863</v>
      </c>
      <c r="J616" s="678">
        <v>16413</v>
      </c>
      <c r="K616" s="679">
        <v>7352</v>
      </c>
      <c r="L616" s="678">
        <v>7811</v>
      </c>
      <c r="M616" s="679">
        <v>103234</v>
      </c>
      <c r="N616" s="678">
        <v>115499</v>
      </c>
      <c r="O616" s="694">
        <f t="shared" si="226"/>
        <v>219523</v>
      </c>
      <c r="P616" s="695">
        <f t="shared" si="237"/>
        <v>7317.4333333333334</v>
      </c>
      <c r="Q616" s="696">
        <f t="shared" si="227"/>
        <v>235827</v>
      </c>
      <c r="R616" s="697">
        <f t="shared" si="238"/>
        <v>7860.9</v>
      </c>
      <c r="S616" s="679">
        <v>17128</v>
      </c>
      <c r="T616" s="678">
        <v>13027</v>
      </c>
      <c r="U616" s="694">
        <f t="shared" si="228"/>
        <v>219523</v>
      </c>
      <c r="V616" s="698">
        <f t="shared" si="229"/>
        <v>235827</v>
      </c>
      <c r="W616" s="679">
        <v>47665</v>
      </c>
      <c r="X616" s="678">
        <v>72750</v>
      </c>
      <c r="Y616" s="679">
        <v>79586</v>
      </c>
      <c r="Z616" s="678">
        <v>61247</v>
      </c>
      <c r="AA616" s="679">
        <v>105615</v>
      </c>
      <c r="AB616" s="678">
        <v>80535</v>
      </c>
      <c r="AC616" s="679">
        <v>79459</v>
      </c>
      <c r="AD616" s="678">
        <v>87571</v>
      </c>
      <c r="AE616" s="694">
        <f t="shared" si="230"/>
        <v>312325</v>
      </c>
      <c r="AF616" s="695">
        <f t="shared" si="239"/>
        <v>347.02777777777777</v>
      </c>
      <c r="AG616" s="696">
        <f t="shared" si="231"/>
        <v>302103</v>
      </c>
      <c r="AH616" s="697">
        <f t="shared" si="240"/>
        <v>335.67</v>
      </c>
      <c r="AI616" s="679"/>
      <c r="AJ616" s="678"/>
      <c r="AK616" s="694">
        <f t="shared" si="232"/>
        <v>0</v>
      </c>
      <c r="AL616" s="698">
        <f t="shared" si="233"/>
        <v>0</v>
      </c>
      <c r="AM616" s="679"/>
      <c r="AN616" s="678"/>
      <c r="AO616" s="679"/>
      <c r="AP616" s="678"/>
      <c r="AQ616" s="679"/>
      <c r="AR616" s="678"/>
      <c r="AS616" s="679"/>
      <c r="AT616" s="678"/>
      <c r="AU616" s="699">
        <f t="shared" si="241"/>
        <v>0</v>
      </c>
      <c r="AV616" s="695">
        <f t="shared" si="236"/>
        <v>0</v>
      </c>
      <c r="AW616" s="696">
        <f t="shared" si="242"/>
        <v>0</v>
      </c>
      <c r="AX616" s="697">
        <f t="shared" si="243"/>
        <v>0</v>
      </c>
      <c r="AY616" s="700">
        <f t="shared" si="234"/>
        <v>7664.4611111111108</v>
      </c>
      <c r="AZ616" s="697">
        <f t="shared" si="235"/>
        <v>8196.57</v>
      </c>
      <c r="BA616" s="680"/>
    </row>
    <row r="617" spans="1:53">
      <c r="A617" s="556" t="s">
        <v>279</v>
      </c>
      <c r="B617" s="154" t="s">
        <v>328</v>
      </c>
      <c r="C617" s="173">
        <v>222567</v>
      </c>
      <c r="D617" s="152">
        <v>9</v>
      </c>
      <c r="E617" s="148" t="s">
        <v>393</v>
      </c>
      <c r="F617" s="550" t="s">
        <v>393</v>
      </c>
      <c r="G617" s="679">
        <v>37081</v>
      </c>
      <c r="H617" s="678">
        <v>39453</v>
      </c>
      <c r="I617" s="679">
        <v>17954</v>
      </c>
      <c r="J617" s="678">
        <v>18765</v>
      </c>
      <c r="K617" s="679">
        <v>0</v>
      </c>
      <c r="L617" s="678">
        <v>0</v>
      </c>
      <c r="M617" s="679">
        <v>37447</v>
      </c>
      <c r="N617" s="678">
        <v>42620</v>
      </c>
      <c r="O617" s="694">
        <f t="shared" si="226"/>
        <v>92482</v>
      </c>
      <c r="P617" s="695">
        <f t="shared" si="237"/>
        <v>3082.7333333333331</v>
      </c>
      <c r="Q617" s="696">
        <f t="shared" si="227"/>
        <v>100838</v>
      </c>
      <c r="R617" s="697">
        <f t="shared" si="238"/>
        <v>3361.2666666666669</v>
      </c>
      <c r="S617" s="679">
        <v>6632</v>
      </c>
      <c r="T617" s="678">
        <v>10967</v>
      </c>
      <c r="U617" s="694">
        <f t="shared" si="228"/>
        <v>92482</v>
      </c>
      <c r="V617" s="698">
        <f t="shared" si="229"/>
        <v>100838</v>
      </c>
      <c r="W617" s="679">
        <v>28354</v>
      </c>
      <c r="X617" s="678">
        <v>33102</v>
      </c>
      <c r="Y617" s="679">
        <v>19341</v>
      </c>
      <c r="Z617" s="678">
        <v>31945</v>
      </c>
      <c r="AA617" s="679">
        <v>26632</v>
      </c>
      <c r="AB617" s="678">
        <v>27595</v>
      </c>
      <c r="AC617" s="679">
        <v>34141</v>
      </c>
      <c r="AD617" s="678">
        <v>40048</v>
      </c>
      <c r="AE617" s="694">
        <f t="shared" si="230"/>
        <v>108468</v>
      </c>
      <c r="AF617" s="695">
        <f t="shared" si="239"/>
        <v>120.52</v>
      </c>
      <c r="AG617" s="696">
        <f t="shared" si="231"/>
        <v>132690</v>
      </c>
      <c r="AH617" s="697">
        <f t="shared" si="240"/>
        <v>147.43333333333334</v>
      </c>
      <c r="AI617" s="679"/>
      <c r="AJ617" s="678"/>
      <c r="AK617" s="694">
        <f t="shared" si="232"/>
        <v>0</v>
      </c>
      <c r="AL617" s="698">
        <f t="shared" si="233"/>
        <v>0</v>
      </c>
      <c r="AM617" s="679"/>
      <c r="AN617" s="678"/>
      <c r="AO617" s="679"/>
      <c r="AP617" s="678"/>
      <c r="AQ617" s="679"/>
      <c r="AR617" s="678"/>
      <c r="AS617" s="679"/>
      <c r="AT617" s="678"/>
      <c r="AU617" s="699">
        <f t="shared" si="241"/>
        <v>0</v>
      </c>
      <c r="AV617" s="695">
        <f t="shared" si="236"/>
        <v>0</v>
      </c>
      <c r="AW617" s="696">
        <f t="shared" si="242"/>
        <v>0</v>
      </c>
      <c r="AX617" s="697">
        <f t="shared" si="243"/>
        <v>0</v>
      </c>
      <c r="AY617" s="700">
        <f t="shared" si="234"/>
        <v>3203.2533333333331</v>
      </c>
      <c r="AZ617" s="697">
        <f t="shared" si="235"/>
        <v>3508.7000000000003</v>
      </c>
      <c r="BA617" s="680"/>
    </row>
    <row r="618" spans="1:53">
      <c r="A618" s="154" t="s">
        <v>279</v>
      </c>
      <c r="B618" s="154" t="s">
        <v>329</v>
      </c>
      <c r="C618" s="173">
        <v>222822</v>
      </c>
      <c r="D618" s="150">
        <v>9</v>
      </c>
      <c r="E618" s="148" t="s">
        <v>393</v>
      </c>
      <c r="F618" s="550" t="s">
        <v>393</v>
      </c>
      <c r="G618" s="679">
        <v>40647</v>
      </c>
      <c r="H618" s="678">
        <v>39938</v>
      </c>
      <c r="I618" s="679">
        <v>7915</v>
      </c>
      <c r="J618" s="678">
        <v>7919</v>
      </c>
      <c r="K618" s="679">
        <v>3270</v>
      </c>
      <c r="L618" s="678">
        <v>3638</v>
      </c>
      <c r="M618" s="679">
        <v>43705</v>
      </c>
      <c r="N618" s="678">
        <v>49372</v>
      </c>
      <c r="O618" s="694">
        <f t="shared" si="226"/>
        <v>95537</v>
      </c>
      <c r="P618" s="695">
        <f t="shared" si="237"/>
        <v>3184.5666666666666</v>
      </c>
      <c r="Q618" s="696">
        <f t="shared" si="227"/>
        <v>100867</v>
      </c>
      <c r="R618" s="697">
        <f t="shared" si="238"/>
        <v>3362.2333333333331</v>
      </c>
      <c r="S618" s="679">
        <v>5619</v>
      </c>
      <c r="T618" s="678">
        <v>8562</v>
      </c>
      <c r="U618" s="694">
        <f t="shared" si="228"/>
        <v>95537</v>
      </c>
      <c r="V618" s="698">
        <f t="shared" si="229"/>
        <v>100867</v>
      </c>
      <c r="W618" s="714">
        <v>22935</v>
      </c>
      <c r="X618" s="715">
        <v>91007</v>
      </c>
      <c r="Y618" s="714">
        <v>67034</v>
      </c>
      <c r="Z618" s="715">
        <v>30365</v>
      </c>
      <c r="AA618" s="679">
        <v>67331</v>
      </c>
      <c r="AB618" s="678">
        <v>83399</v>
      </c>
      <c r="AC618" s="679">
        <v>24362</v>
      </c>
      <c r="AD618" s="678">
        <v>38541</v>
      </c>
      <c r="AE618" s="694">
        <f t="shared" si="230"/>
        <v>181662</v>
      </c>
      <c r="AF618" s="695">
        <f t="shared" si="239"/>
        <v>201.84666666666666</v>
      </c>
      <c r="AG618" s="696">
        <f t="shared" si="231"/>
        <v>243312</v>
      </c>
      <c r="AH618" s="697">
        <f t="shared" si="240"/>
        <v>270.34666666666669</v>
      </c>
      <c r="AI618" s="679"/>
      <c r="AJ618" s="678"/>
      <c r="AK618" s="694">
        <f t="shared" si="232"/>
        <v>0</v>
      </c>
      <c r="AL618" s="698">
        <f t="shared" si="233"/>
        <v>0</v>
      </c>
      <c r="AM618" s="679"/>
      <c r="AN618" s="678"/>
      <c r="AO618" s="679"/>
      <c r="AP618" s="678"/>
      <c r="AQ618" s="679"/>
      <c r="AR618" s="678"/>
      <c r="AS618" s="679"/>
      <c r="AT618" s="678"/>
      <c r="AU618" s="699">
        <f t="shared" si="241"/>
        <v>0</v>
      </c>
      <c r="AV618" s="695">
        <f t="shared" si="236"/>
        <v>0</v>
      </c>
      <c r="AW618" s="696">
        <f t="shared" si="242"/>
        <v>0</v>
      </c>
      <c r="AX618" s="697">
        <f t="shared" si="243"/>
        <v>0</v>
      </c>
      <c r="AY618" s="700">
        <f t="shared" si="234"/>
        <v>3386.4133333333334</v>
      </c>
      <c r="AZ618" s="697">
        <f t="shared" si="235"/>
        <v>3632.58</v>
      </c>
      <c r="BA618" s="680"/>
    </row>
    <row r="619" spans="1:53">
      <c r="A619" s="154" t="s">
        <v>279</v>
      </c>
      <c r="B619" s="167" t="s">
        <v>331</v>
      </c>
      <c r="C619" s="173">
        <v>223773</v>
      </c>
      <c r="D619" s="150">
        <v>9</v>
      </c>
      <c r="E619" s="148" t="s">
        <v>393</v>
      </c>
      <c r="F619" s="550" t="s">
        <v>393</v>
      </c>
      <c r="G619" s="679">
        <v>33239</v>
      </c>
      <c r="H619" s="678">
        <v>41093</v>
      </c>
      <c r="I619" s="679">
        <v>14756</v>
      </c>
      <c r="J619" s="678">
        <v>12293</v>
      </c>
      <c r="K619" s="679">
        <v>6886</v>
      </c>
      <c r="L619" s="678">
        <v>7065</v>
      </c>
      <c r="M619" s="679">
        <v>34765</v>
      </c>
      <c r="N619" s="678">
        <v>39546</v>
      </c>
      <c r="O619" s="694">
        <f t="shared" si="226"/>
        <v>89646</v>
      </c>
      <c r="P619" s="695">
        <f t="shared" si="237"/>
        <v>2988.2</v>
      </c>
      <c r="Q619" s="696">
        <f t="shared" si="227"/>
        <v>99997</v>
      </c>
      <c r="R619" s="697">
        <f t="shared" si="238"/>
        <v>3333.2333333333331</v>
      </c>
      <c r="S619" s="679">
        <v>5842</v>
      </c>
      <c r="T619" s="678">
        <v>8491</v>
      </c>
      <c r="U619" s="694">
        <f t="shared" si="228"/>
        <v>89646</v>
      </c>
      <c r="V619" s="698">
        <f t="shared" si="229"/>
        <v>99997</v>
      </c>
      <c r="W619" s="679">
        <v>58260</v>
      </c>
      <c r="X619" s="678">
        <v>57311</v>
      </c>
      <c r="Y619" s="679">
        <v>92342</v>
      </c>
      <c r="Z619" s="678">
        <v>79495</v>
      </c>
      <c r="AA619" s="679">
        <v>78542</v>
      </c>
      <c r="AB619" s="678">
        <v>102649</v>
      </c>
      <c r="AC619" s="679">
        <v>74504</v>
      </c>
      <c r="AD619" s="678">
        <v>99937</v>
      </c>
      <c r="AE619" s="694">
        <f t="shared" si="230"/>
        <v>303648</v>
      </c>
      <c r="AF619" s="695">
        <f t="shared" si="239"/>
        <v>337.38666666666666</v>
      </c>
      <c r="AG619" s="696">
        <f t="shared" si="231"/>
        <v>339392</v>
      </c>
      <c r="AH619" s="697">
        <f t="shared" si="240"/>
        <v>377.10222222222222</v>
      </c>
      <c r="AI619" s="679"/>
      <c r="AJ619" s="678"/>
      <c r="AK619" s="694">
        <f t="shared" si="232"/>
        <v>0</v>
      </c>
      <c r="AL619" s="698">
        <f t="shared" si="233"/>
        <v>0</v>
      </c>
      <c r="AM619" s="679"/>
      <c r="AN619" s="678"/>
      <c r="AO619" s="679"/>
      <c r="AP619" s="678"/>
      <c r="AQ619" s="679"/>
      <c r="AR619" s="678"/>
      <c r="AS619" s="679"/>
      <c r="AT619" s="678"/>
      <c r="AU619" s="699">
        <f t="shared" si="241"/>
        <v>0</v>
      </c>
      <c r="AV619" s="695">
        <f t="shared" si="236"/>
        <v>0</v>
      </c>
      <c r="AW619" s="696">
        <f t="shared" si="242"/>
        <v>0</v>
      </c>
      <c r="AX619" s="697">
        <f t="shared" si="243"/>
        <v>0</v>
      </c>
      <c r="AY619" s="700">
        <f t="shared" si="234"/>
        <v>3325.5866666666666</v>
      </c>
      <c r="AZ619" s="697">
        <f t="shared" si="235"/>
        <v>3710.3355555555554</v>
      </c>
      <c r="BA619" s="680"/>
    </row>
    <row r="620" spans="1:53">
      <c r="A620" s="154" t="s">
        <v>279</v>
      </c>
      <c r="B620" s="154" t="s">
        <v>332</v>
      </c>
      <c r="C620" s="173">
        <v>223898</v>
      </c>
      <c r="D620" s="150">
        <v>9</v>
      </c>
      <c r="E620" s="148" t="s">
        <v>393</v>
      </c>
      <c r="F620" s="550" t="s">
        <v>393</v>
      </c>
      <c r="G620" s="679">
        <v>30996</v>
      </c>
      <c r="H620" s="678">
        <v>33681</v>
      </c>
      <c r="I620" s="679">
        <v>6082</v>
      </c>
      <c r="J620" s="678">
        <v>6126</v>
      </c>
      <c r="K620" s="679">
        <v>1757</v>
      </c>
      <c r="L620" s="678">
        <v>1527</v>
      </c>
      <c r="M620" s="679">
        <v>36078</v>
      </c>
      <c r="N620" s="678">
        <v>41244</v>
      </c>
      <c r="O620" s="694">
        <f t="shared" si="226"/>
        <v>74913</v>
      </c>
      <c r="P620" s="695">
        <f t="shared" si="237"/>
        <v>2497.1</v>
      </c>
      <c r="Q620" s="696">
        <f t="shared" si="227"/>
        <v>82578</v>
      </c>
      <c r="R620" s="697">
        <f t="shared" si="238"/>
        <v>2752.6</v>
      </c>
      <c r="S620" s="679">
        <v>1734</v>
      </c>
      <c r="T620" s="678">
        <v>3574</v>
      </c>
      <c r="U620" s="694">
        <f t="shared" si="228"/>
        <v>74913</v>
      </c>
      <c r="V620" s="698">
        <f t="shared" si="229"/>
        <v>82578</v>
      </c>
      <c r="W620" s="679">
        <v>2693</v>
      </c>
      <c r="X620" s="678">
        <v>1668</v>
      </c>
      <c r="Y620" s="679">
        <v>4640</v>
      </c>
      <c r="Z620" s="678">
        <v>3183</v>
      </c>
      <c r="AA620" s="679">
        <v>1613</v>
      </c>
      <c r="AB620" s="715">
        <v>0</v>
      </c>
      <c r="AC620" s="679">
        <v>3106</v>
      </c>
      <c r="AD620" s="678">
        <v>1400</v>
      </c>
      <c r="AE620" s="694">
        <f t="shared" si="230"/>
        <v>12052</v>
      </c>
      <c r="AF620" s="695">
        <f t="shared" si="239"/>
        <v>13.391111111111112</v>
      </c>
      <c r="AG620" s="696">
        <f t="shared" si="231"/>
        <v>6251</v>
      </c>
      <c r="AH620" s="697">
        <f t="shared" si="240"/>
        <v>6.9455555555555559</v>
      </c>
      <c r="AI620" s="679"/>
      <c r="AJ620" s="678"/>
      <c r="AK620" s="694">
        <f t="shared" si="232"/>
        <v>0</v>
      </c>
      <c r="AL620" s="698">
        <f t="shared" si="233"/>
        <v>0</v>
      </c>
      <c r="AM620" s="679"/>
      <c r="AN620" s="678"/>
      <c r="AO620" s="679"/>
      <c r="AP620" s="678"/>
      <c r="AQ620" s="679"/>
      <c r="AR620" s="678"/>
      <c r="AS620" s="679"/>
      <c r="AT620" s="678"/>
      <c r="AU620" s="699">
        <f t="shared" si="241"/>
        <v>0</v>
      </c>
      <c r="AV620" s="695">
        <f t="shared" si="236"/>
        <v>0</v>
      </c>
      <c r="AW620" s="696">
        <f t="shared" si="242"/>
        <v>0</v>
      </c>
      <c r="AX620" s="697">
        <f t="shared" si="243"/>
        <v>0</v>
      </c>
      <c r="AY620" s="700">
        <f t="shared" si="234"/>
        <v>2510.491111111111</v>
      </c>
      <c r="AZ620" s="697">
        <f t="shared" si="235"/>
        <v>2759.5455555555554</v>
      </c>
      <c r="BA620" s="680"/>
    </row>
    <row r="621" spans="1:53">
      <c r="A621" s="154" t="s">
        <v>279</v>
      </c>
      <c r="B621" s="154" t="s">
        <v>333</v>
      </c>
      <c r="C621" s="173">
        <v>223320</v>
      </c>
      <c r="D621" s="150">
        <v>9</v>
      </c>
      <c r="E621" s="148" t="s">
        <v>393</v>
      </c>
      <c r="F621" s="550" t="s">
        <v>393</v>
      </c>
      <c r="G621" s="679">
        <v>25049</v>
      </c>
      <c r="H621" s="678">
        <v>30015</v>
      </c>
      <c r="I621" s="679">
        <v>9395</v>
      </c>
      <c r="J621" s="678">
        <v>9020</v>
      </c>
      <c r="K621" s="679">
        <v>2096</v>
      </c>
      <c r="L621" s="678">
        <v>2213</v>
      </c>
      <c r="M621" s="679">
        <v>30982</v>
      </c>
      <c r="N621" s="678">
        <v>35793</v>
      </c>
      <c r="O621" s="694">
        <f t="shared" si="226"/>
        <v>67522</v>
      </c>
      <c r="P621" s="695">
        <f t="shared" si="237"/>
        <v>2250.7333333333331</v>
      </c>
      <c r="Q621" s="696">
        <f t="shared" si="227"/>
        <v>77041</v>
      </c>
      <c r="R621" s="697">
        <f t="shared" si="238"/>
        <v>2568.0333333333333</v>
      </c>
      <c r="S621" s="679">
        <v>4670</v>
      </c>
      <c r="T621" s="678">
        <v>9099</v>
      </c>
      <c r="U621" s="694">
        <f t="shared" si="228"/>
        <v>67522</v>
      </c>
      <c r="V621" s="698">
        <f t="shared" si="229"/>
        <v>77041</v>
      </c>
      <c r="W621" s="679">
        <v>28175</v>
      </c>
      <c r="X621" s="678">
        <v>24020</v>
      </c>
      <c r="Y621" s="679">
        <v>51155</v>
      </c>
      <c r="Z621" s="678">
        <v>44655</v>
      </c>
      <c r="AA621" s="679">
        <v>46501</v>
      </c>
      <c r="AB621" s="678">
        <v>41908</v>
      </c>
      <c r="AC621" s="679">
        <v>33348</v>
      </c>
      <c r="AD621" s="678">
        <v>34659</v>
      </c>
      <c r="AE621" s="694">
        <f t="shared" si="230"/>
        <v>159179</v>
      </c>
      <c r="AF621" s="695">
        <f t="shared" si="239"/>
        <v>176.86555555555555</v>
      </c>
      <c r="AG621" s="696">
        <f t="shared" si="231"/>
        <v>145242</v>
      </c>
      <c r="AH621" s="697">
        <f t="shared" si="240"/>
        <v>161.38</v>
      </c>
      <c r="AI621" s="679"/>
      <c r="AJ621" s="678"/>
      <c r="AK621" s="694">
        <f t="shared" si="232"/>
        <v>0</v>
      </c>
      <c r="AL621" s="698">
        <f t="shared" si="233"/>
        <v>0</v>
      </c>
      <c r="AM621" s="679"/>
      <c r="AN621" s="678"/>
      <c r="AO621" s="679"/>
      <c r="AP621" s="678"/>
      <c r="AQ621" s="679"/>
      <c r="AR621" s="678"/>
      <c r="AS621" s="679"/>
      <c r="AT621" s="678"/>
      <c r="AU621" s="699">
        <f t="shared" si="241"/>
        <v>0</v>
      </c>
      <c r="AV621" s="695">
        <f t="shared" si="236"/>
        <v>0</v>
      </c>
      <c r="AW621" s="696">
        <f t="shared" si="242"/>
        <v>0</v>
      </c>
      <c r="AX621" s="697">
        <f t="shared" si="243"/>
        <v>0</v>
      </c>
      <c r="AY621" s="700">
        <f t="shared" si="234"/>
        <v>2427.5988888888887</v>
      </c>
      <c r="AZ621" s="697">
        <f t="shared" si="235"/>
        <v>2729.4133333333334</v>
      </c>
      <c r="BA621" s="680"/>
    </row>
    <row r="622" spans="1:53">
      <c r="A622" s="154" t="s">
        <v>279</v>
      </c>
      <c r="B622" s="154" t="s">
        <v>334</v>
      </c>
      <c r="C622" s="173">
        <v>226408</v>
      </c>
      <c r="D622" s="150">
        <v>9</v>
      </c>
      <c r="E622" s="148" t="s">
        <v>393</v>
      </c>
      <c r="F622" s="550" t="s">
        <v>393</v>
      </c>
      <c r="G622" s="679">
        <v>29657</v>
      </c>
      <c r="H622" s="678">
        <v>30348</v>
      </c>
      <c r="I622" s="679">
        <v>7414</v>
      </c>
      <c r="J622" s="678">
        <v>7670</v>
      </c>
      <c r="K622" s="679">
        <v>6148</v>
      </c>
      <c r="L622" s="678">
        <v>7006</v>
      </c>
      <c r="M622" s="679">
        <v>29284</v>
      </c>
      <c r="N622" s="678">
        <v>32546</v>
      </c>
      <c r="O622" s="694">
        <f t="shared" si="226"/>
        <v>72503</v>
      </c>
      <c r="P622" s="695">
        <f t="shared" si="237"/>
        <v>2416.7666666666669</v>
      </c>
      <c r="Q622" s="696">
        <f t="shared" si="227"/>
        <v>77570</v>
      </c>
      <c r="R622" s="697">
        <f t="shared" si="238"/>
        <v>2585.6666666666665</v>
      </c>
      <c r="S622" s="679">
        <v>5935</v>
      </c>
      <c r="T622" s="678">
        <v>6033</v>
      </c>
      <c r="U622" s="694">
        <f t="shared" si="228"/>
        <v>72503</v>
      </c>
      <c r="V622" s="698">
        <f t="shared" si="229"/>
        <v>77570</v>
      </c>
      <c r="W622" s="679">
        <v>48642</v>
      </c>
      <c r="X622" s="678">
        <v>66838</v>
      </c>
      <c r="Y622" s="679">
        <v>24600</v>
      </c>
      <c r="Z622" s="678">
        <v>43601</v>
      </c>
      <c r="AA622" s="679">
        <v>48721</v>
      </c>
      <c r="AB622" s="678">
        <v>73449</v>
      </c>
      <c r="AC622" s="679">
        <v>32718</v>
      </c>
      <c r="AD622" s="678">
        <v>54457</v>
      </c>
      <c r="AE622" s="694">
        <f t="shared" si="230"/>
        <v>154681</v>
      </c>
      <c r="AF622" s="695">
        <f t="shared" si="239"/>
        <v>171.86777777777777</v>
      </c>
      <c r="AG622" s="696">
        <f t="shared" si="231"/>
        <v>238345</v>
      </c>
      <c r="AH622" s="697">
        <f t="shared" si="240"/>
        <v>264.82777777777778</v>
      </c>
      <c r="AI622" s="679"/>
      <c r="AJ622" s="678"/>
      <c r="AK622" s="694">
        <f t="shared" si="232"/>
        <v>0</v>
      </c>
      <c r="AL622" s="698">
        <f t="shared" si="233"/>
        <v>0</v>
      </c>
      <c r="AM622" s="679"/>
      <c r="AN622" s="678"/>
      <c r="AO622" s="679"/>
      <c r="AP622" s="678"/>
      <c r="AQ622" s="679"/>
      <c r="AR622" s="678"/>
      <c r="AS622" s="679"/>
      <c r="AT622" s="678"/>
      <c r="AU622" s="699">
        <f t="shared" si="241"/>
        <v>0</v>
      </c>
      <c r="AV622" s="695">
        <f t="shared" si="236"/>
        <v>0</v>
      </c>
      <c r="AW622" s="696">
        <f t="shared" si="242"/>
        <v>0</v>
      </c>
      <c r="AX622" s="697">
        <f t="shared" si="243"/>
        <v>0</v>
      </c>
      <c r="AY622" s="700">
        <f t="shared" si="234"/>
        <v>2588.6344444444449</v>
      </c>
      <c r="AZ622" s="697">
        <f t="shared" si="235"/>
        <v>2850.4944444444445</v>
      </c>
      <c r="BA622" s="680"/>
    </row>
    <row r="623" spans="1:53">
      <c r="A623" s="154" t="s">
        <v>279</v>
      </c>
      <c r="B623" s="167" t="s">
        <v>335</v>
      </c>
      <c r="C623" s="173">
        <v>224615</v>
      </c>
      <c r="D623" s="150">
        <v>9</v>
      </c>
      <c r="E623" s="148" t="s">
        <v>393</v>
      </c>
      <c r="F623" s="550" t="s">
        <v>393</v>
      </c>
      <c r="G623" s="679">
        <v>51189</v>
      </c>
      <c r="H623" s="678">
        <v>61172</v>
      </c>
      <c r="I623" s="679">
        <v>13902</v>
      </c>
      <c r="J623" s="678">
        <v>15034</v>
      </c>
      <c r="K623" s="679">
        <v>7614</v>
      </c>
      <c r="L623" s="678">
        <v>8948</v>
      </c>
      <c r="M623" s="679">
        <v>53839</v>
      </c>
      <c r="N623" s="678">
        <v>62447</v>
      </c>
      <c r="O623" s="694">
        <f t="shared" si="226"/>
        <v>126544</v>
      </c>
      <c r="P623" s="695">
        <f t="shared" si="237"/>
        <v>4218.1333333333332</v>
      </c>
      <c r="Q623" s="696">
        <f t="shared" si="227"/>
        <v>147601</v>
      </c>
      <c r="R623" s="697">
        <f t="shared" si="238"/>
        <v>4920.0333333333338</v>
      </c>
      <c r="S623" s="679">
        <v>6383</v>
      </c>
      <c r="T623" s="678">
        <v>9540</v>
      </c>
      <c r="U623" s="694">
        <f t="shared" si="228"/>
        <v>126544</v>
      </c>
      <c r="V623" s="698">
        <f t="shared" si="229"/>
        <v>147601</v>
      </c>
      <c r="W623" s="679">
        <v>199937</v>
      </c>
      <c r="X623" s="678">
        <v>323027</v>
      </c>
      <c r="Y623" s="679">
        <v>260001</v>
      </c>
      <c r="Z623" s="678">
        <v>420258</v>
      </c>
      <c r="AA623" s="679">
        <v>319320</v>
      </c>
      <c r="AB623" s="678">
        <v>328087</v>
      </c>
      <c r="AC623" s="679">
        <v>380788</v>
      </c>
      <c r="AD623" s="678">
        <v>455676</v>
      </c>
      <c r="AE623" s="694">
        <f t="shared" si="230"/>
        <v>1160046</v>
      </c>
      <c r="AF623" s="695">
        <f t="shared" si="239"/>
        <v>1288.94</v>
      </c>
      <c r="AG623" s="696">
        <f t="shared" si="231"/>
        <v>1527048</v>
      </c>
      <c r="AH623" s="697">
        <f t="shared" si="240"/>
        <v>1696.72</v>
      </c>
      <c r="AI623" s="679"/>
      <c r="AJ623" s="678"/>
      <c r="AK623" s="694">
        <f t="shared" si="232"/>
        <v>0</v>
      </c>
      <c r="AL623" s="698">
        <f t="shared" si="233"/>
        <v>0</v>
      </c>
      <c r="AM623" s="679"/>
      <c r="AN623" s="678"/>
      <c r="AO623" s="679"/>
      <c r="AP623" s="678"/>
      <c r="AQ623" s="679"/>
      <c r="AR623" s="678"/>
      <c r="AS623" s="679"/>
      <c r="AT623" s="678"/>
      <c r="AU623" s="699">
        <f t="shared" si="241"/>
        <v>0</v>
      </c>
      <c r="AV623" s="695">
        <f t="shared" si="236"/>
        <v>0</v>
      </c>
      <c r="AW623" s="696">
        <f t="shared" si="242"/>
        <v>0</v>
      </c>
      <c r="AX623" s="697">
        <f t="shared" si="243"/>
        <v>0</v>
      </c>
      <c r="AY623" s="700">
        <f t="shared" si="234"/>
        <v>5507.0733333333337</v>
      </c>
      <c r="AZ623" s="697">
        <f t="shared" si="235"/>
        <v>6616.753333333334</v>
      </c>
      <c r="BA623" s="680"/>
    </row>
    <row r="624" spans="1:53">
      <c r="A624" s="154" t="s">
        <v>279</v>
      </c>
      <c r="B624" s="154" t="s">
        <v>336</v>
      </c>
      <c r="C624" s="173">
        <v>225070</v>
      </c>
      <c r="D624" s="150">
        <v>9</v>
      </c>
      <c r="E624" s="148" t="s">
        <v>393</v>
      </c>
      <c r="F624" s="550" t="s">
        <v>393</v>
      </c>
      <c r="G624" s="679">
        <v>36025</v>
      </c>
      <c r="H624" s="678">
        <v>41106</v>
      </c>
      <c r="I624" s="679">
        <v>7273</v>
      </c>
      <c r="J624" s="678">
        <v>8430</v>
      </c>
      <c r="K624" s="679">
        <v>2260</v>
      </c>
      <c r="L624" s="678">
        <v>2800</v>
      </c>
      <c r="M624" s="679">
        <v>40157</v>
      </c>
      <c r="N624" s="678">
        <v>46891</v>
      </c>
      <c r="O624" s="694">
        <f t="shared" si="226"/>
        <v>85715</v>
      </c>
      <c r="P624" s="695">
        <f t="shared" si="237"/>
        <v>2857.1666666666665</v>
      </c>
      <c r="Q624" s="696">
        <f t="shared" si="227"/>
        <v>99227</v>
      </c>
      <c r="R624" s="697">
        <f t="shared" si="238"/>
        <v>3307.5666666666666</v>
      </c>
      <c r="S624" s="679">
        <v>3815</v>
      </c>
      <c r="T624" s="678">
        <v>4277</v>
      </c>
      <c r="U624" s="694">
        <f t="shared" si="228"/>
        <v>85715</v>
      </c>
      <c r="V624" s="698">
        <f t="shared" si="229"/>
        <v>99227</v>
      </c>
      <c r="W624" s="679">
        <v>26451</v>
      </c>
      <c r="X624" s="678">
        <v>17241</v>
      </c>
      <c r="Y624" s="679">
        <v>35125</v>
      </c>
      <c r="Z624" s="678">
        <v>17126</v>
      </c>
      <c r="AA624" s="679">
        <v>33997</v>
      </c>
      <c r="AB624" s="678">
        <v>29724</v>
      </c>
      <c r="AC624" s="679">
        <v>28571</v>
      </c>
      <c r="AD624" s="678">
        <v>16991</v>
      </c>
      <c r="AE624" s="694">
        <f t="shared" si="230"/>
        <v>124144</v>
      </c>
      <c r="AF624" s="695">
        <f t="shared" si="239"/>
        <v>137.93777777777777</v>
      </c>
      <c r="AG624" s="696">
        <f t="shared" si="231"/>
        <v>81082</v>
      </c>
      <c r="AH624" s="697">
        <f t="shared" si="240"/>
        <v>90.091111111111104</v>
      </c>
      <c r="AI624" s="679"/>
      <c r="AJ624" s="678"/>
      <c r="AK624" s="694">
        <f t="shared" si="232"/>
        <v>0</v>
      </c>
      <c r="AL624" s="698">
        <f t="shared" si="233"/>
        <v>0</v>
      </c>
      <c r="AM624" s="679"/>
      <c r="AN624" s="678"/>
      <c r="AO624" s="679"/>
      <c r="AP624" s="678"/>
      <c r="AQ624" s="679"/>
      <c r="AR624" s="678"/>
      <c r="AS624" s="679"/>
      <c r="AT624" s="678"/>
      <c r="AU624" s="699">
        <f t="shared" si="241"/>
        <v>0</v>
      </c>
      <c r="AV624" s="695">
        <f t="shared" si="236"/>
        <v>0</v>
      </c>
      <c r="AW624" s="696">
        <f t="shared" si="242"/>
        <v>0</v>
      </c>
      <c r="AX624" s="697">
        <f t="shared" si="243"/>
        <v>0</v>
      </c>
      <c r="AY624" s="700">
        <f t="shared" si="234"/>
        <v>2995.1044444444442</v>
      </c>
      <c r="AZ624" s="697">
        <f t="shared" si="235"/>
        <v>3397.6577777777775</v>
      </c>
      <c r="BA624" s="680"/>
    </row>
    <row r="625" spans="1:53">
      <c r="A625" s="154" t="s">
        <v>279</v>
      </c>
      <c r="B625" s="154" t="s">
        <v>337</v>
      </c>
      <c r="C625" s="173">
        <v>225371</v>
      </c>
      <c r="D625" s="150">
        <v>9</v>
      </c>
      <c r="E625" s="148" t="s">
        <v>393</v>
      </c>
      <c r="F625" s="550" t="s">
        <v>393</v>
      </c>
      <c r="G625" s="679">
        <v>29931</v>
      </c>
      <c r="H625" s="678">
        <v>34415</v>
      </c>
      <c r="I625" s="679">
        <v>7466</v>
      </c>
      <c r="J625" s="678">
        <v>9468</v>
      </c>
      <c r="K625" s="679">
        <v>1918</v>
      </c>
      <c r="L625" s="678">
        <v>2359</v>
      </c>
      <c r="M625" s="679">
        <v>33830</v>
      </c>
      <c r="N625" s="678">
        <v>39435</v>
      </c>
      <c r="O625" s="694">
        <f t="shared" si="226"/>
        <v>73145</v>
      </c>
      <c r="P625" s="695">
        <f t="shared" si="237"/>
        <v>2438.1666666666665</v>
      </c>
      <c r="Q625" s="696">
        <f t="shared" si="227"/>
        <v>85677</v>
      </c>
      <c r="R625" s="697">
        <f t="shared" si="238"/>
        <v>2855.9</v>
      </c>
      <c r="S625" s="679">
        <v>8189</v>
      </c>
      <c r="T625" s="678">
        <v>9434</v>
      </c>
      <c r="U625" s="694">
        <f t="shared" si="228"/>
        <v>73145</v>
      </c>
      <c r="V625" s="698">
        <f t="shared" si="229"/>
        <v>85677</v>
      </c>
      <c r="W625" s="679">
        <v>19828</v>
      </c>
      <c r="X625" s="678">
        <v>43423</v>
      </c>
      <c r="Y625" s="679">
        <v>17580</v>
      </c>
      <c r="Z625" s="678">
        <v>20740</v>
      </c>
      <c r="AA625" s="679">
        <v>26486</v>
      </c>
      <c r="AB625" s="678">
        <v>26917</v>
      </c>
      <c r="AC625" s="679">
        <v>17196</v>
      </c>
      <c r="AD625" s="678">
        <v>19917</v>
      </c>
      <c r="AE625" s="694">
        <f t="shared" si="230"/>
        <v>81090</v>
      </c>
      <c r="AF625" s="695">
        <f t="shared" si="239"/>
        <v>90.1</v>
      </c>
      <c r="AG625" s="696">
        <f t="shared" si="231"/>
        <v>110997</v>
      </c>
      <c r="AH625" s="697">
        <f t="shared" si="240"/>
        <v>123.33</v>
      </c>
      <c r="AI625" s="679"/>
      <c r="AJ625" s="678"/>
      <c r="AK625" s="694">
        <f t="shared" si="232"/>
        <v>0</v>
      </c>
      <c r="AL625" s="698">
        <f t="shared" si="233"/>
        <v>0</v>
      </c>
      <c r="AM625" s="679"/>
      <c r="AN625" s="678"/>
      <c r="AO625" s="679"/>
      <c r="AP625" s="678"/>
      <c r="AQ625" s="679"/>
      <c r="AR625" s="678"/>
      <c r="AS625" s="679"/>
      <c r="AT625" s="678"/>
      <c r="AU625" s="699">
        <f t="shared" si="241"/>
        <v>0</v>
      </c>
      <c r="AV625" s="695">
        <f t="shared" si="236"/>
        <v>0</v>
      </c>
      <c r="AW625" s="696">
        <f t="shared" si="242"/>
        <v>0</v>
      </c>
      <c r="AX625" s="697">
        <f t="shared" si="243"/>
        <v>0</v>
      </c>
      <c r="AY625" s="700">
        <f t="shared" si="234"/>
        <v>2528.2666666666664</v>
      </c>
      <c r="AZ625" s="697">
        <f t="shared" si="235"/>
        <v>2979.23</v>
      </c>
      <c r="BA625" s="680"/>
    </row>
    <row r="626" spans="1:53">
      <c r="A626" s="154" t="s">
        <v>279</v>
      </c>
      <c r="B626" s="169" t="s">
        <v>338</v>
      </c>
      <c r="C626" s="173">
        <v>225520</v>
      </c>
      <c r="D626" s="150">
        <v>9</v>
      </c>
      <c r="E626" s="148" t="s">
        <v>393</v>
      </c>
      <c r="F626" s="550" t="s">
        <v>393</v>
      </c>
      <c r="G626" s="679">
        <v>26299</v>
      </c>
      <c r="H626" s="678">
        <v>29219</v>
      </c>
      <c r="I626" s="679">
        <v>4842</v>
      </c>
      <c r="J626" s="678">
        <v>5143</v>
      </c>
      <c r="K626" s="679">
        <v>2238</v>
      </c>
      <c r="L626" s="678">
        <v>2216</v>
      </c>
      <c r="M626" s="679">
        <v>28526</v>
      </c>
      <c r="N626" s="678">
        <v>34176</v>
      </c>
      <c r="O626" s="694">
        <f t="shared" ref="O626:O689" si="244">SUM(G626,I626,K626,M626)</f>
        <v>61905</v>
      </c>
      <c r="P626" s="695">
        <f t="shared" si="237"/>
        <v>2063.5</v>
      </c>
      <c r="Q626" s="696">
        <f t="shared" ref="Q626:Q689" si="245">SUM(H626,J626,L626,N626)</f>
        <v>70754</v>
      </c>
      <c r="R626" s="697">
        <f t="shared" si="238"/>
        <v>2358.4666666666667</v>
      </c>
      <c r="S626" s="679">
        <v>11052</v>
      </c>
      <c r="T626" s="678">
        <v>13550</v>
      </c>
      <c r="U626" s="694">
        <f t="shared" ref="U626:U689" si="246">IF(OR(ISBLANK(S626),(S626="—")),0,O626)</f>
        <v>61905</v>
      </c>
      <c r="V626" s="698">
        <f t="shared" ref="V626:V689" si="247">IF(OR(ISBLANK(T626),(T626="—")),0,Q626)</f>
        <v>70754</v>
      </c>
      <c r="W626" s="679">
        <v>215791</v>
      </c>
      <c r="X626" s="678">
        <v>235084</v>
      </c>
      <c r="Y626" s="679">
        <v>255640</v>
      </c>
      <c r="Z626" s="678">
        <v>203040</v>
      </c>
      <c r="AA626" s="679">
        <v>244486</v>
      </c>
      <c r="AB626" s="678">
        <v>201376</v>
      </c>
      <c r="AC626" s="679">
        <v>249635</v>
      </c>
      <c r="AD626" s="678">
        <v>245653</v>
      </c>
      <c r="AE626" s="694">
        <f t="shared" ref="AE626:AE689" si="248">SUM(W626,Y626,AA626,AC626)</f>
        <v>965552</v>
      </c>
      <c r="AF626" s="695">
        <f t="shared" si="239"/>
        <v>1072.8355555555556</v>
      </c>
      <c r="AG626" s="696">
        <f t="shared" ref="AG626:AG689" si="249">SUM(X626,Z626,AB626,AD626)</f>
        <v>885153</v>
      </c>
      <c r="AH626" s="697">
        <f t="shared" si="240"/>
        <v>983.50333333333333</v>
      </c>
      <c r="AI626" s="679"/>
      <c r="AJ626" s="678"/>
      <c r="AK626" s="694">
        <f t="shared" ref="AK626:AK689" si="250">IF(OR(ISBLANK(AI626),(AI626="—")),0,AE626)</f>
        <v>0</v>
      </c>
      <c r="AL626" s="698">
        <f t="shared" ref="AL626:AL689" si="251">IF(OR(ISBLANK(AJ626),(AJ626="—")),0,AG626)</f>
        <v>0</v>
      </c>
      <c r="AM626" s="679"/>
      <c r="AN626" s="678"/>
      <c r="AO626" s="679"/>
      <c r="AP626" s="678"/>
      <c r="AQ626" s="679"/>
      <c r="AR626" s="678"/>
      <c r="AS626" s="679"/>
      <c r="AT626" s="678"/>
      <c r="AU626" s="699">
        <f t="shared" si="241"/>
        <v>0</v>
      </c>
      <c r="AV626" s="695">
        <f t="shared" si="236"/>
        <v>0</v>
      </c>
      <c r="AW626" s="696">
        <f t="shared" si="242"/>
        <v>0</v>
      </c>
      <c r="AX626" s="697">
        <f t="shared" si="243"/>
        <v>0</v>
      </c>
      <c r="AY626" s="700">
        <f t="shared" ref="AY626:AY689" si="252">SUM(P626,AF626,AV626)</f>
        <v>3136.3355555555554</v>
      </c>
      <c r="AZ626" s="697">
        <f t="shared" ref="AZ626:AZ689" si="253">SUM(R626,AH626,AX626)</f>
        <v>3341.9700000000003</v>
      </c>
      <c r="BA626" s="680"/>
    </row>
    <row r="627" spans="1:53">
      <c r="A627" s="154" t="s">
        <v>279</v>
      </c>
      <c r="B627" s="290" t="s">
        <v>339</v>
      </c>
      <c r="C627" s="173">
        <v>226019</v>
      </c>
      <c r="D627" s="150">
        <v>9</v>
      </c>
      <c r="E627" s="148" t="s">
        <v>393</v>
      </c>
      <c r="F627" s="550" t="s">
        <v>393</v>
      </c>
      <c r="G627" s="679">
        <v>49164</v>
      </c>
      <c r="H627" s="678">
        <v>52940</v>
      </c>
      <c r="I627" s="679">
        <v>9351</v>
      </c>
      <c r="J627" s="678">
        <v>9724</v>
      </c>
      <c r="K627" s="679">
        <v>6273</v>
      </c>
      <c r="L627" s="678">
        <v>6368</v>
      </c>
      <c r="M627" s="679">
        <v>53146</v>
      </c>
      <c r="N627" s="678">
        <v>59622</v>
      </c>
      <c r="O627" s="694">
        <f t="shared" si="244"/>
        <v>117934</v>
      </c>
      <c r="P627" s="695">
        <f t="shared" si="237"/>
        <v>3931.1333333333332</v>
      </c>
      <c r="Q627" s="696">
        <f t="shared" si="245"/>
        <v>128654</v>
      </c>
      <c r="R627" s="697">
        <f t="shared" si="238"/>
        <v>4288.4666666666662</v>
      </c>
      <c r="S627" s="679">
        <v>5919</v>
      </c>
      <c r="T627" s="678">
        <v>9373</v>
      </c>
      <c r="U627" s="694">
        <f t="shared" si="246"/>
        <v>117934</v>
      </c>
      <c r="V627" s="698">
        <f t="shared" si="247"/>
        <v>128654</v>
      </c>
      <c r="W627" s="679">
        <v>174106</v>
      </c>
      <c r="X627" s="678">
        <v>211568</v>
      </c>
      <c r="Y627" s="679">
        <v>293166</v>
      </c>
      <c r="Z627" s="678">
        <v>160814</v>
      </c>
      <c r="AA627" s="679">
        <v>195562</v>
      </c>
      <c r="AB627" s="678">
        <v>201209</v>
      </c>
      <c r="AC627" s="679">
        <v>150561</v>
      </c>
      <c r="AD627" s="678">
        <v>173746</v>
      </c>
      <c r="AE627" s="694">
        <f t="shared" si="248"/>
        <v>813395</v>
      </c>
      <c r="AF627" s="695">
        <f t="shared" si="239"/>
        <v>903.77222222222224</v>
      </c>
      <c r="AG627" s="696">
        <f t="shared" si="249"/>
        <v>747337</v>
      </c>
      <c r="AH627" s="697">
        <f t="shared" si="240"/>
        <v>830.37444444444441</v>
      </c>
      <c r="AI627" s="679"/>
      <c r="AJ627" s="678"/>
      <c r="AK627" s="694">
        <f t="shared" si="250"/>
        <v>0</v>
      </c>
      <c r="AL627" s="698">
        <f t="shared" si="251"/>
        <v>0</v>
      </c>
      <c r="AM627" s="679"/>
      <c r="AN627" s="678"/>
      <c r="AO627" s="679"/>
      <c r="AP627" s="678"/>
      <c r="AQ627" s="679"/>
      <c r="AR627" s="678"/>
      <c r="AS627" s="679"/>
      <c r="AT627" s="678"/>
      <c r="AU627" s="699">
        <f t="shared" si="241"/>
        <v>0</v>
      </c>
      <c r="AV627" s="695">
        <f t="shared" si="236"/>
        <v>0</v>
      </c>
      <c r="AW627" s="696">
        <f t="shared" si="242"/>
        <v>0</v>
      </c>
      <c r="AX627" s="697">
        <f t="shared" si="243"/>
        <v>0</v>
      </c>
      <c r="AY627" s="700">
        <f t="shared" si="252"/>
        <v>4834.9055555555551</v>
      </c>
      <c r="AZ627" s="697">
        <f t="shared" si="253"/>
        <v>5118.8411111111109</v>
      </c>
      <c r="BA627" s="680"/>
    </row>
    <row r="628" spans="1:53">
      <c r="A628" s="154" t="s">
        <v>279</v>
      </c>
      <c r="B628" s="154" t="s">
        <v>340</v>
      </c>
      <c r="C628" s="173">
        <v>441760</v>
      </c>
      <c r="D628" s="150">
        <v>9</v>
      </c>
      <c r="E628" s="148" t="s">
        <v>393</v>
      </c>
      <c r="F628" s="550" t="s">
        <v>393</v>
      </c>
      <c r="G628" s="679">
        <v>25456</v>
      </c>
      <c r="H628" s="678">
        <v>28586</v>
      </c>
      <c r="I628" s="679">
        <v>2135</v>
      </c>
      <c r="J628" s="678">
        <v>2427</v>
      </c>
      <c r="K628" s="679">
        <v>1569</v>
      </c>
      <c r="L628" s="678">
        <v>1858</v>
      </c>
      <c r="M628" s="679">
        <v>31316</v>
      </c>
      <c r="N628" s="678">
        <v>34393</v>
      </c>
      <c r="O628" s="694">
        <f t="shared" si="244"/>
        <v>60476</v>
      </c>
      <c r="P628" s="695">
        <f t="shared" si="237"/>
        <v>2015.8666666666666</v>
      </c>
      <c r="Q628" s="696">
        <f t="shared" si="245"/>
        <v>67264</v>
      </c>
      <c r="R628" s="697">
        <f t="shared" si="238"/>
        <v>2242.1333333333332</v>
      </c>
      <c r="S628" s="679">
        <v>666</v>
      </c>
      <c r="T628" s="678">
        <v>1021</v>
      </c>
      <c r="U628" s="694">
        <f t="shared" si="246"/>
        <v>60476</v>
      </c>
      <c r="V628" s="698">
        <f t="shared" si="247"/>
        <v>67264</v>
      </c>
      <c r="W628" s="679">
        <v>44138</v>
      </c>
      <c r="X628" s="678">
        <v>49812</v>
      </c>
      <c r="Y628" s="679">
        <v>76260</v>
      </c>
      <c r="Z628" s="678">
        <v>59959</v>
      </c>
      <c r="AA628" s="679">
        <v>61507</v>
      </c>
      <c r="AB628" s="678">
        <v>73438</v>
      </c>
      <c r="AC628" s="679">
        <v>46522</v>
      </c>
      <c r="AD628" s="678">
        <v>34163</v>
      </c>
      <c r="AE628" s="694">
        <f t="shared" si="248"/>
        <v>228427</v>
      </c>
      <c r="AF628" s="695">
        <f t="shared" si="239"/>
        <v>253.80777777777777</v>
      </c>
      <c r="AG628" s="696">
        <f t="shared" si="249"/>
        <v>217372</v>
      </c>
      <c r="AH628" s="697">
        <f t="shared" si="240"/>
        <v>241.52444444444444</v>
      </c>
      <c r="AI628" s="679"/>
      <c r="AJ628" s="678"/>
      <c r="AK628" s="694">
        <f t="shared" si="250"/>
        <v>0</v>
      </c>
      <c r="AL628" s="698">
        <f t="shared" si="251"/>
        <v>0</v>
      </c>
      <c r="AM628" s="679"/>
      <c r="AN628" s="678"/>
      <c r="AO628" s="679"/>
      <c r="AP628" s="678"/>
      <c r="AQ628" s="679"/>
      <c r="AR628" s="678"/>
      <c r="AS628" s="679"/>
      <c r="AT628" s="678"/>
      <c r="AU628" s="699">
        <f t="shared" si="241"/>
        <v>0</v>
      </c>
      <c r="AV628" s="695">
        <f t="shared" si="236"/>
        <v>0</v>
      </c>
      <c r="AW628" s="696">
        <f t="shared" si="242"/>
        <v>0</v>
      </c>
      <c r="AX628" s="697">
        <f t="shared" si="243"/>
        <v>0</v>
      </c>
      <c r="AY628" s="700">
        <f t="shared" si="252"/>
        <v>2269.6744444444444</v>
      </c>
      <c r="AZ628" s="697">
        <f t="shared" si="253"/>
        <v>2483.6577777777775</v>
      </c>
      <c r="BA628" s="680"/>
    </row>
    <row r="629" spans="1:53">
      <c r="A629" s="556" t="s">
        <v>279</v>
      </c>
      <c r="B629" s="154" t="s">
        <v>342</v>
      </c>
      <c r="C629" s="173">
        <v>226204</v>
      </c>
      <c r="D629" s="152">
        <v>9</v>
      </c>
      <c r="E629" s="148" t="s">
        <v>393</v>
      </c>
      <c r="F629" s="550" t="s">
        <v>393</v>
      </c>
      <c r="G629" s="679">
        <v>51279</v>
      </c>
      <c r="H629" s="678">
        <v>52585</v>
      </c>
      <c r="I629" s="679">
        <v>21552</v>
      </c>
      <c r="J629" s="678">
        <v>22236</v>
      </c>
      <c r="K629" s="679">
        <v>3504</v>
      </c>
      <c r="L629" s="678">
        <v>3272</v>
      </c>
      <c r="M629" s="679">
        <v>48670</v>
      </c>
      <c r="N629" s="678">
        <v>55355</v>
      </c>
      <c r="O629" s="694">
        <f t="shared" si="244"/>
        <v>125005</v>
      </c>
      <c r="P629" s="695">
        <f t="shared" si="237"/>
        <v>4166.833333333333</v>
      </c>
      <c r="Q629" s="696">
        <f t="shared" si="245"/>
        <v>133448</v>
      </c>
      <c r="R629" s="697">
        <f t="shared" si="238"/>
        <v>4448.2666666666664</v>
      </c>
      <c r="S629" s="679">
        <v>4770</v>
      </c>
      <c r="T629" s="678">
        <v>5031</v>
      </c>
      <c r="U629" s="694">
        <f t="shared" si="246"/>
        <v>125005</v>
      </c>
      <c r="V629" s="698">
        <f t="shared" si="247"/>
        <v>133448</v>
      </c>
      <c r="W629" s="679">
        <v>51196</v>
      </c>
      <c r="X629" s="678">
        <v>49452</v>
      </c>
      <c r="Y629" s="679">
        <v>38788</v>
      </c>
      <c r="Z629" s="678">
        <v>16815</v>
      </c>
      <c r="AA629" s="679">
        <v>45347</v>
      </c>
      <c r="AB629" s="678">
        <v>29883</v>
      </c>
      <c r="AC629" s="679">
        <v>34741</v>
      </c>
      <c r="AD629" s="678">
        <v>39156</v>
      </c>
      <c r="AE629" s="694">
        <f t="shared" si="248"/>
        <v>170072</v>
      </c>
      <c r="AF629" s="695">
        <f t="shared" si="239"/>
        <v>188.9688888888889</v>
      </c>
      <c r="AG629" s="696">
        <f t="shared" si="249"/>
        <v>135306</v>
      </c>
      <c r="AH629" s="697">
        <f t="shared" si="240"/>
        <v>150.34</v>
      </c>
      <c r="AI629" s="679"/>
      <c r="AJ629" s="678"/>
      <c r="AK629" s="694">
        <f t="shared" si="250"/>
        <v>0</v>
      </c>
      <c r="AL629" s="698">
        <f t="shared" si="251"/>
        <v>0</v>
      </c>
      <c r="AM629" s="679"/>
      <c r="AN629" s="678"/>
      <c r="AO629" s="679"/>
      <c r="AP629" s="678"/>
      <c r="AQ629" s="679"/>
      <c r="AR629" s="678"/>
      <c r="AS629" s="679"/>
      <c r="AT629" s="678"/>
      <c r="AU629" s="699">
        <f t="shared" si="241"/>
        <v>0</v>
      </c>
      <c r="AV629" s="695">
        <f t="shared" si="236"/>
        <v>0</v>
      </c>
      <c r="AW629" s="696">
        <f t="shared" si="242"/>
        <v>0</v>
      </c>
      <c r="AX629" s="697">
        <f t="shared" si="243"/>
        <v>0</v>
      </c>
      <c r="AY629" s="700">
        <f t="shared" si="252"/>
        <v>4355.8022222222216</v>
      </c>
      <c r="AZ629" s="697">
        <f t="shared" si="253"/>
        <v>4598.6066666666666</v>
      </c>
      <c r="BA629" s="680"/>
    </row>
    <row r="630" spans="1:53">
      <c r="A630" s="154" t="s">
        <v>279</v>
      </c>
      <c r="B630" s="167" t="s">
        <v>344</v>
      </c>
      <c r="C630" s="173">
        <v>226930</v>
      </c>
      <c r="D630" s="150">
        <v>9</v>
      </c>
      <c r="E630" s="148" t="s">
        <v>393</v>
      </c>
      <c r="F630" s="550" t="s">
        <v>393</v>
      </c>
      <c r="G630" s="679">
        <v>47160</v>
      </c>
      <c r="H630" s="678">
        <v>53767</v>
      </c>
      <c r="I630" s="679">
        <v>16028</v>
      </c>
      <c r="J630" s="678">
        <v>16833</v>
      </c>
      <c r="K630" s="679">
        <v>7157</v>
      </c>
      <c r="L630" s="678">
        <v>8507</v>
      </c>
      <c r="M630" s="679">
        <v>46834</v>
      </c>
      <c r="N630" s="678">
        <v>54455</v>
      </c>
      <c r="O630" s="694">
        <f t="shared" si="244"/>
        <v>117179</v>
      </c>
      <c r="P630" s="695">
        <f t="shared" si="237"/>
        <v>3905.9666666666667</v>
      </c>
      <c r="Q630" s="696">
        <f t="shared" si="245"/>
        <v>133562</v>
      </c>
      <c r="R630" s="697">
        <f t="shared" si="238"/>
        <v>4452.0666666666666</v>
      </c>
      <c r="S630" s="679">
        <v>6036</v>
      </c>
      <c r="T630" s="678">
        <v>9231</v>
      </c>
      <c r="U630" s="694">
        <f t="shared" si="246"/>
        <v>117179</v>
      </c>
      <c r="V630" s="698">
        <f t="shared" si="247"/>
        <v>133562</v>
      </c>
      <c r="W630" s="679">
        <v>37533</v>
      </c>
      <c r="X630" s="678">
        <v>40904</v>
      </c>
      <c r="Y630" s="679">
        <v>39404</v>
      </c>
      <c r="Z630" s="678">
        <v>44019</v>
      </c>
      <c r="AA630" s="679">
        <v>29764</v>
      </c>
      <c r="AB630" s="678">
        <v>41273</v>
      </c>
      <c r="AC630" s="679">
        <v>50054</v>
      </c>
      <c r="AD630" s="678">
        <v>44485</v>
      </c>
      <c r="AE630" s="694">
        <f t="shared" si="248"/>
        <v>156755</v>
      </c>
      <c r="AF630" s="695">
        <f t="shared" si="239"/>
        <v>174.17222222222222</v>
      </c>
      <c r="AG630" s="696">
        <f t="shared" si="249"/>
        <v>170681</v>
      </c>
      <c r="AH630" s="697">
        <f t="shared" si="240"/>
        <v>189.64555555555555</v>
      </c>
      <c r="AI630" s="679"/>
      <c r="AJ630" s="678"/>
      <c r="AK630" s="694">
        <f t="shared" si="250"/>
        <v>0</v>
      </c>
      <c r="AL630" s="698">
        <f t="shared" si="251"/>
        <v>0</v>
      </c>
      <c r="AM630" s="679"/>
      <c r="AN630" s="678"/>
      <c r="AO630" s="679"/>
      <c r="AP630" s="678"/>
      <c r="AQ630" s="679"/>
      <c r="AR630" s="678"/>
      <c r="AS630" s="679"/>
      <c r="AT630" s="678"/>
      <c r="AU630" s="699">
        <f t="shared" si="241"/>
        <v>0</v>
      </c>
      <c r="AV630" s="695">
        <f t="shared" si="236"/>
        <v>0</v>
      </c>
      <c r="AW630" s="696">
        <f t="shared" si="242"/>
        <v>0</v>
      </c>
      <c r="AX630" s="697">
        <f t="shared" si="243"/>
        <v>0</v>
      </c>
      <c r="AY630" s="700">
        <f t="shared" si="252"/>
        <v>4080.1388888888887</v>
      </c>
      <c r="AZ630" s="697">
        <f t="shared" si="253"/>
        <v>4641.7122222222224</v>
      </c>
      <c r="BA630" s="680"/>
    </row>
    <row r="631" spans="1:53">
      <c r="A631" s="154" t="s">
        <v>279</v>
      </c>
      <c r="B631" s="154" t="s">
        <v>346</v>
      </c>
      <c r="C631" s="173">
        <v>224110</v>
      </c>
      <c r="D631" s="150">
        <v>9</v>
      </c>
      <c r="E631" s="148" t="s">
        <v>393</v>
      </c>
      <c r="F631" s="550" t="s">
        <v>393</v>
      </c>
      <c r="G631" s="679">
        <v>61383</v>
      </c>
      <c r="H631" s="678">
        <v>68993</v>
      </c>
      <c r="I631" s="679">
        <v>19389</v>
      </c>
      <c r="J631" s="678">
        <v>20740</v>
      </c>
      <c r="K631" s="679">
        <v>0</v>
      </c>
      <c r="L631" s="678">
        <v>0</v>
      </c>
      <c r="M631" s="679">
        <v>69853</v>
      </c>
      <c r="N631" s="678">
        <v>77469</v>
      </c>
      <c r="O631" s="694">
        <f t="shared" si="244"/>
        <v>150625</v>
      </c>
      <c r="P631" s="695">
        <f t="shared" si="237"/>
        <v>5020.833333333333</v>
      </c>
      <c r="Q631" s="696">
        <f t="shared" si="245"/>
        <v>167202</v>
      </c>
      <c r="R631" s="697">
        <f t="shared" si="238"/>
        <v>5573.4</v>
      </c>
      <c r="S631" s="679">
        <v>7989</v>
      </c>
      <c r="T631" s="678">
        <v>9215</v>
      </c>
      <c r="U631" s="694">
        <f t="shared" si="246"/>
        <v>150625</v>
      </c>
      <c r="V631" s="698">
        <f t="shared" si="247"/>
        <v>167202</v>
      </c>
      <c r="W631" s="679">
        <v>8528</v>
      </c>
      <c r="X631" s="678">
        <v>14450</v>
      </c>
      <c r="Y631" s="679">
        <v>11557</v>
      </c>
      <c r="Z631" s="678">
        <v>9245</v>
      </c>
      <c r="AA631" s="679">
        <v>8953</v>
      </c>
      <c r="AB631" s="678">
        <v>10379</v>
      </c>
      <c r="AC631" s="679">
        <v>23510</v>
      </c>
      <c r="AD631" s="678">
        <v>21973</v>
      </c>
      <c r="AE631" s="694">
        <f t="shared" si="248"/>
        <v>52548</v>
      </c>
      <c r="AF631" s="695">
        <f t="shared" si="239"/>
        <v>58.386666666666663</v>
      </c>
      <c r="AG631" s="696">
        <f t="shared" si="249"/>
        <v>56047</v>
      </c>
      <c r="AH631" s="697">
        <f t="shared" si="240"/>
        <v>62.274444444444441</v>
      </c>
      <c r="AI631" s="679"/>
      <c r="AJ631" s="678"/>
      <c r="AK631" s="694">
        <f t="shared" si="250"/>
        <v>0</v>
      </c>
      <c r="AL631" s="698">
        <f t="shared" si="251"/>
        <v>0</v>
      </c>
      <c r="AM631" s="679"/>
      <c r="AN631" s="678"/>
      <c r="AO631" s="679"/>
      <c r="AP631" s="678"/>
      <c r="AQ631" s="679"/>
      <c r="AR631" s="678"/>
      <c r="AS631" s="679"/>
      <c r="AT631" s="678"/>
      <c r="AU631" s="699">
        <f t="shared" si="241"/>
        <v>0</v>
      </c>
      <c r="AV631" s="695">
        <f t="shared" si="236"/>
        <v>0</v>
      </c>
      <c r="AW631" s="696">
        <f t="shared" si="242"/>
        <v>0</v>
      </c>
      <c r="AX631" s="697">
        <f t="shared" si="243"/>
        <v>0</v>
      </c>
      <c r="AY631" s="700">
        <f t="shared" si="252"/>
        <v>5079.2199999999993</v>
      </c>
      <c r="AZ631" s="697">
        <f t="shared" si="253"/>
        <v>5635.6744444444439</v>
      </c>
      <c r="BA631" s="680"/>
    </row>
    <row r="632" spans="1:53">
      <c r="A632" s="154" t="s">
        <v>279</v>
      </c>
      <c r="B632" s="154" t="s">
        <v>347</v>
      </c>
      <c r="C632" s="173">
        <v>227304</v>
      </c>
      <c r="D632" s="152">
        <v>9</v>
      </c>
      <c r="E632" s="148" t="s">
        <v>393</v>
      </c>
      <c r="F632" s="550" t="s">
        <v>393</v>
      </c>
      <c r="G632" s="679">
        <v>36714</v>
      </c>
      <c r="H632" s="678">
        <v>37704</v>
      </c>
      <c r="I632" s="679">
        <v>6511</v>
      </c>
      <c r="J632" s="678">
        <v>6015</v>
      </c>
      <c r="K632" s="679">
        <v>4747</v>
      </c>
      <c r="L632" s="678">
        <v>4937</v>
      </c>
      <c r="M632" s="679">
        <v>38791</v>
      </c>
      <c r="N632" s="678">
        <v>43822</v>
      </c>
      <c r="O632" s="694">
        <f t="shared" si="244"/>
        <v>86763</v>
      </c>
      <c r="P632" s="695">
        <f t="shared" si="237"/>
        <v>2892.1</v>
      </c>
      <c r="Q632" s="696">
        <f t="shared" si="245"/>
        <v>92478</v>
      </c>
      <c r="R632" s="697">
        <f t="shared" si="238"/>
        <v>3082.6</v>
      </c>
      <c r="S632" s="679">
        <v>8344</v>
      </c>
      <c r="T632" s="678">
        <v>9777</v>
      </c>
      <c r="U632" s="694">
        <f t="shared" si="246"/>
        <v>86763</v>
      </c>
      <c r="V632" s="698">
        <f t="shared" si="247"/>
        <v>92478</v>
      </c>
      <c r="W632" s="679">
        <v>58109</v>
      </c>
      <c r="X632" s="678">
        <v>61458</v>
      </c>
      <c r="Y632" s="679">
        <v>82846</v>
      </c>
      <c r="Z632" s="678">
        <v>50067</v>
      </c>
      <c r="AA632" s="679">
        <v>81785</v>
      </c>
      <c r="AB632" s="678">
        <v>64607</v>
      </c>
      <c r="AC632" s="679">
        <v>81177</v>
      </c>
      <c r="AD632" s="678">
        <v>78835</v>
      </c>
      <c r="AE632" s="694">
        <f t="shared" si="248"/>
        <v>303917</v>
      </c>
      <c r="AF632" s="695">
        <f t="shared" si="239"/>
        <v>337.68555555555554</v>
      </c>
      <c r="AG632" s="696">
        <f t="shared" si="249"/>
        <v>254967</v>
      </c>
      <c r="AH632" s="697">
        <f t="shared" si="240"/>
        <v>283.29666666666668</v>
      </c>
      <c r="AI632" s="679"/>
      <c r="AJ632" s="678"/>
      <c r="AK632" s="694">
        <f t="shared" si="250"/>
        <v>0</v>
      </c>
      <c r="AL632" s="698">
        <f t="shared" si="251"/>
        <v>0</v>
      </c>
      <c r="AM632" s="679"/>
      <c r="AN632" s="678"/>
      <c r="AO632" s="679"/>
      <c r="AP632" s="678"/>
      <c r="AQ632" s="679"/>
      <c r="AR632" s="678"/>
      <c r="AS632" s="679"/>
      <c r="AT632" s="678"/>
      <c r="AU632" s="699">
        <f t="shared" si="241"/>
        <v>0</v>
      </c>
      <c r="AV632" s="695">
        <f t="shared" si="236"/>
        <v>0</v>
      </c>
      <c r="AW632" s="696">
        <f t="shared" si="242"/>
        <v>0</v>
      </c>
      <c r="AX632" s="697">
        <f t="shared" si="243"/>
        <v>0</v>
      </c>
      <c r="AY632" s="700">
        <f t="shared" si="252"/>
        <v>3229.7855555555552</v>
      </c>
      <c r="AZ632" s="697">
        <f t="shared" si="253"/>
        <v>3365.8966666666665</v>
      </c>
      <c r="BA632" s="680"/>
    </row>
    <row r="633" spans="1:53">
      <c r="A633" s="154" t="s">
        <v>279</v>
      </c>
      <c r="B633" s="154" t="s">
        <v>348</v>
      </c>
      <c r="C633" s="173">
        <v>227401</v>
      </c>
      <c r="D633" s="150">
        <v>9</v>
      </c>
      <c r="E633" s="148" t="s">
        <v>393</v>
      </c>
      <c r="F633" s="550" t="s">
        <v>393</v>
      </c>
      <c r="G633" s="679">
        <v>37827</v>
      </c>
      <c r="H633" s="678">
        <v>42081</v>
      </c>
      <c r="I633" s="679">
        <v>7710</v>
      </c>
      <c r="J633" s="678">
        <v>9693</v>
      </c>
      <c r="K633" s="679">
        <v>5083</v>
      </c>
      <c r="L633" s="678">
        <v>5482</v>
      </c>
      <c r="M633" s="679">
        <v>42324</v>
      </c>
      <c r="N633" s="678">
        <v>52991</v>
      </c>
      <c r="O633" s="694">
        <f t="shared" si="244"/>
        <v>92944</v>
      </c>
      <c r="P633" s="695">
        <f t="shared" si="237"/>
        <v>3098.1333333333332</v>
      </c>
      <c r="Q633" s="696">
        <f t="shared" si="245"/>
        <v>110247</v>
      </c>
      <c r="R633" s="697">
        <f t="shared" si="238"/>
        <v>3674.9</v>
      </c>
      <c r="S633" s="679">
        <v>8390</v>
      </c>
      <c r="T633" s="678">
        <v>10740</v>
      </c>
      <c r="U633" s="694">
        <f t="shared" si="246"/>
        <v>92944</v>
      </c>
      <c r="V633" s="698">
        <f t="shared" si="247"/>
        <v>110247</v>
      </c>
      <c r="W633" s="679">
        <v>13540</v>
      </c>
      <c r="X633" s="678">
        <v>25584</v>
      </c>
      <c r="Y633" s="679">
        <v>28083</v>
      </c>
      <c r="Z633" s="678">
        <v>25126</v>
      </c>
      <c r="AA633" s="679">
        <v>24720</v>
      </c>
      <c r="AB633" s="678">
        <v>25943</v>
      </c>
      <c r="AC633" s="679">
        <v>19820</v>
      </c>
      <c r="AD633" s="678">
        <v>36772</v>
      </c>
      <c r="AE633" s="694">
        <f t="shared" si="248"/>
        <v>86163</v>
      </c>
      <c r="AF633" s="695">
        <f t="shared" si="239"/>
        <v>95.736666666666665</v>
      </c>
      <c r="AG633" s="696">
        <f t="shared" si="249"/>
        <v>113425</v>
      </c>
      <c r="AH633" s="697">
        <f t="shared" si="240"/>
        <v>126.02777777777777</v>
      </c>
      <c r="AI633" s="679"/>
      <c r="AJ633" s="678"/>
      <c r="AK633" s="694">
        <f t="shared" si="250"/>
        <v>0</v>
      </c>
      <c r="AL633" s="698">
        <f t="shared" si="251"/>
        <v>0</v>
      </c>
      <c r="AM633" s="679"/>
      <c r="AN633" s="678"/>
      <c r="AO633" s="679"/>
      <c r="AP633" s="678"/>
      <c r="AQ633" s="679"/>
      <c r="AR633" s="678"/>
      <c r="AS633" s="679"/>
      <c r="AT633" s="678"/>
      <c r="AU633" s="699">
        <f t="shared" si="241"/>
        <v>0</v>
      </c>
      <c r="AV633" s="695">
        <f t="shared" si="236"/>
        <v>0</v>
      </c>
      <c r="AW633" s="696">
        <f t="shared" si="242"/>
        <v>0</v>
      </c>
      <c r="AX633" s="697">
        <f t="shared" si="243"/>
        <v>0</v>
      </c>
      <c r="AY633" s="700">
        <f t="shared" si="252"/>
        <v>3193.87</v>
      </c>
      <c r="AZ633" s="697">
        <f t="shared" si="253"/>
        <v>3800.9277777777779</v>
      </c>
      <c r="BA633" s="680"/>
    </row>
    <row r="634" spans="1:53">
      <c r="A634" s="154" t="s">
        <v>279</v>
      </c>
      <c r="B634" s="154" t="s">
        <v>349</v>
      </c>
      <c r="C634" s="173">
        <v>228316</v>
      </c>
      <c r="D634" s="150">
        <v>9</v>
      </c>
      <c r="E634" s="148" t="s">
        <v>393</v>
      </c>
      <c r="F634" s="550" t="s">
        <v>393</v>
      </c>
      <c r="G634" s="679">
        <v>37925</v>
      </c>
      <c r="H634" s="678">
        <v>43252</v>
      </c>
      <c r="I634" s="679">
        <v>8372</v>
      </c>
      <c r="J634" s="678">
        <v>7378</v>
      </c>
      <c r="K634" s="679">
        <v>3620</v>
      </c>
      <c r="L634" s="678">
        <v>4937</v>
      </c>
      <c r="M634" s="679">
        <v>43253</v>
      </c>
      <c r="N634" s="678">
        <v>49952</v>
      </c>
      <c r="O634" s="694">
        <f t="shared" si="244"/>
        <v>93170</v>
      </c>
      <c r="P634" s="695">
        <f t="shared" si="237"/>
        <v>3105.6666666666665</v>
      </c>
      <c r="Q634" s="696">
        <f t="shared" si="245"/>
        <v>105519</v>
      </c>
      <c r="R634" s="697">
        <f t="shared" si="238"/>
        <v>3517.3</v>
      </c>
      <c r="S634" s="679">
        <v>12564</v>
      </c>
      <c r="T634" s="678">
        <v>15445</v>
      </c>
      <c r="U634" s="694">
        <f t="shared" si="246"/>
        <v>93170</v>
      </c>
      <c r="V634" s="698">
        <f t="shared" si="247"/>
        <v>105519</v>
      </c>
      <c r="W634" s="714">
        <v>11895</v>
      </c>
      <c r="X634" s="715">
        <v>35582</v>
      </c>
      <c r="Y634" s="679">
        <v>33433</v>
      </c>
      <c r="Z634" s="678">
        <v>27495</v>
      </c>
      <c r="AA634" s="679">
        <v>25356</v>
      </c>
      <c r="AB634" s="678">
        <v>37802</v>
      </c>
      <c r="AC634" s="679">
        <v>15276</v>
      </c>
      <c r="AD634" s="678">
        <v>17439</v>
      </c>
      <c r="AE634" s="694">
        <f t="shared" si="248"/>
        <v>85960</v>
      </c>
      <c r="AF634" s="695">
        <f t="shared" si="239"/>
        <v>95.511111111111106</v>
      </c>
      <c r="AG634" s="696">
        <f t="shared" si="249"/>
        <v>118318</v>
      </c>
      <c r="AH634" s="697">
        <f t="shared" si="240"/>
        <v>131.46444444444444</v>
      </c>
      <c r="AI634" s="679"/>
      <c r="AJ634" s="678"/>
      <c r="AK634" s="694">
        <f t="shared" si="250"/>
        <v>0</v>
      </c>
      <c r="AL634" s="698">
        <f t="shared" si="251"/>
        <v>0</v>
      </c>
      <c r="AM634" s="679"/>
      <c r="AN634" s="678"/>
      <c r="AO634" s="679"/>
      <c r="AP634" s="678"/>
      <c r="AQ634" s="679"/>
      <c r="AR634" s="678"/>
      <c r="AS634" s="679"/>
      <c r="AT634" s="678"/>
      <c r="AU634" s="699">
        <f t="shared" si="241"/>
        <v>0</v>
      </c>
      <c r="AV634" s="695">
        <f t="shared" si="236"/>
        <v>0</v>
      </c>
      <c r="AW634" s="696">
        <f t="shared" si="242"/>
        <v>0</v>
      </c>
      <c r="AX634" s="697">
        <f t="shared" si="243"/>
        <v>0</v>
      </c>
      <c r="AY634" s="700">
        <f t="shared" si="252"/>
        <v>3201.1777777777775</v>
      </c>
      <c r="AZ634" s="697">
        <f t="shared" si="253"/>
        <v>3648.7644444444445</v>
      </c>
      <c r="BA634" s="680"/>
    </row>
    <row r="635" spans="1:53">
      <c r="A635" s="154" t="s">
        <v>279</v>
      </c>
      <c r="B635" s="154" t="s">
        <v>350</v>
      </c>
      <c r="C635" s="173">
        <v>228608</v>
      </c>
      <c r="D635" s="150">
        <v>9</v>
      </c>
      <c r="E635" s="148" t="s">
        <v>393</v>
      </c>
      <c r="F635" s="550" t="s">
        <v>393</v>
      </c>
      <c r="G635" s="679">
        <v>40573</v>
      </c>
      <c r="H635" s="678">
        <v>44858</v>
      </c>
      <c r="I635" s="679">
        <v>10959</v>
      </c>
      <c r="J635" s="678">
        <v>12308</v>
      </c>
      <c r="K635" s="679">
        <v>0</v>
      </c>
      <c r="L635" s="678">
        <v>0</v>
      </c>
      <c r="M635" s="679">
        <v>47788</v>
      </c>
      <c r="N635" s="678">
        <v>52837</v>
      </c>
      <c r="O635" s="694">
        <f t="shared" si="244"/>
        <v>99320</v>
      </c>
      <c r="P635" s="695">
        <f t="shared" si="237"/>
        <v>3310.6666666666665</v>
      </c>
      <c r="Q635" s="696">
        <f t="shared" si="245"/>
        <v>110003</v>
      </c>
      <c r="R635" s="697">
        <f t="shared" si="238"/>
        <v>3666.7666666666669</v>
      </c>
      <c r="S635" s="679">
        <v>10613</v>
      </c>
      <c r="T635" s="678">
        <v>12734</v>
      </c>
      <c r="U635" s="694">
        <f t="shared" si="246"/>
        <v>99320</v>
      </c>
      <c r="V635" s="698">
        <f t="shared" si="247"/>
        <v>110003</v>
      </c>
      <c r="W635" s="679">
        <v>25081</v>
      </c>
      <c r="X635" s="678">
        <v>22505</v>
      </c>
      <c r="Y635" s="679">
        <v>37240</v>
      </c>
      <c r="Z635" s="678">
        <v>29602</v>
      </c>
      <c r="AA635" s="679">
        <v>19193</v>
      </c>
      <c r="AB635" s="678">
        <v>34957</v>
      </c>
      <c r="AC635" s="679">
        <v>25037</v>
      </c>
      <c r="AD635" s="678">
        <v>28067</v>
      </c>
      <c r="AE635" s="694">
        <f t="shared" si="248"/>
        <v>106551</v>
      </c>
      <c r="AF635" s="695">
        <f t="shared" si="239"/>
        <v>118.39</v>
      </c>
      <c r="AG635" s="696">
        <f t="shared" si="249"/>
        <v>115131</v>
      </c>
      <c r="AH635" s="697">
        <f t="shared" si="240"/>
        <v>127.92333333333333</v>
      </c>
      <c r="AI635" s="679"/>
      <c r="AJ635" s="678"/>
      <c r="AK635" s="694">
        <f t="shared" si="250"/>
        <v>0</v>
      </c>
      <c r="AL635" s="698">
        <f t="shared" si="251"/>
        <v>0</v>
      </c>
      <c r="AM635" s="679"/>
      <c r="AN635" s="678"/>
      <c r="AO635" s="679"/>
      <c r="AP635" s="678"/>
      <c r="AQ635" s="679"/>
      <c r="AR635" s="678"/>
      <c r="AS635" s="679"/>
      <c r="AT635" s="678"/>
      <c r="AU635" s="699">
        <f t="shared" si="241"/>
        <v>0</v>
      </c>
      <c r="AV635" s="695">
        <f t="shared" si="236"/>
        <v>0</v>
      </c>
      <c r="AW635" s="696">
        <f t="shared" si="242"/>
        <v>0</v>
      </c>
      <c r="AX635" s="697">
        <f t="shared" si="243"/>
        <v>0</v>
      </c>
      <c r="AY635" s="700">
        <f t="shared" si="252"/>
        <v>3429.0566666666664</v>
      </c>
      <c r="AZ635" s="697">
        <f t="shared" si="253"/>
        <v>3794.69</v>
      </c>
      <c r="BA635" s="680"/>
    </row>
    <row r="636" spans="1:53">
      <c r="A636" s="154" t="s">
        <v>279</v>
      </c>
      <c r="B636" s="154" t="s">
        <v>351</v>
      </c>
      <c r="C636" s="173">
        <v>228699</v>
      </c>
      <c r="D636" s="150">
        <v>9</v>
      </c>
      <c r="E636" s="148" t="s">
        <v>393</v>
      </c>
      <c r="F636" s="550" t="s">
        <v>393</v>
      </c>
      <c r="G636" s="679">
        <v>34480</v>
      </c>
      <c r="H636" s="678">
        <v>35933</v>
      </c>
      <c r="I636" s="679">
        <v>11132</v>
      </c>
      <c r="J636" s="678">
        <v>12023</v>
      </c>
      <c r="K636" s="679">
        <v>2291</v>
      </c>
      <c r="L636" s="678">
        <v>2439</v>
      </c>
      <c r="M636" s="679">
        <v>41762</v>
      </c>
      <c r="N636" s="678">
        <v>45650</v>
      </c>
      <c r="O636" s="694">
        <f t="shared" si="244"/>
        <v>89665</v>
      </c>
      <c r="P636" s="695">
        <f t="shared" si="237"/>
        <v>2988.8333333333335</v>
      </c>
      <c r="Q636" s="696">
        <f t="shared" si="245"/>
        <v>96045</v>
      </c>
      <c r="R636" s="697">
        <f t="shared" si="238"/>
        <v>3201.5</v>
      </c>
      <c r="S636" s="679">
        <v>8803</v>
      </c>
      <c r="T636" s="678">
        <v>10112</v>
      </c>
      <c r="U636" s="694">
        <f t="shared" si="246"/>
        <v>89665</v>
      </c>
      <c r="V636" s="698">
        <f t="shared" si="247"/>
        <v>96045</v>
      </c>
      <c r="W636" s="679">
        <v>26592</v>
      </c>
      <c r="X636" s="678">
        <v>15012</v>
      </c>
      <c r="Y636" s="679">
        <v>181522</v>
      </c>
      <c r="Z636" s="678">
        <v>175353</v>
      </c>
      <c r="AA636" s="679">
        <v>104136</v>
      </c>
      <c r="AB636" s="678">
        <v>105673</v>
      </c>
      <c r="AC636" s="679">
        <v>96631</v>
      </c>
      <c r="AD636" s="678">
        <v>100410</v>
      </c>
      <c r="AE636" s="694">
        <f t="shared" si="248"/>
        <v>408881</v>
      </c>
      <c r="AF636" s="695">
        <f t="shared" si="239"/>
        <v>454.3122222222222</v>
      </c>
      <c r="AG636" s="696">
        <f t="shared" si="249"/>
        <v>396448</v>
      </c>
      <c r="AH636" s="697">
        <f t="shared" si="240"/>
        <v>440.4977777777778</v>
      </c>
      <c r="AI636" s="679"/>
      <c r="AJ636" s="678"/>
      <c r="AK636" s="694">
        <f t="shared" si="250"/>
        <v>0</v>
      </c>
      <c r="AL636" s="698">
        <f t="shared" si="251"/>
        <v>0</v>
      </c>
      <c r="AM636" s="679"/>
      <c r="AN636" s="678"/>
      <c r="AO636" s="679"/>
      <c r="AP636" s="678"/>
      <c r="AQ636" s="679"/>
      <c r="AR636" s="678"/>
      <c r="AS636" s="679"/>
      <c r="AT636" s="678"/>
      <c r="AU636" s="699">
        <f t="shared" si="241"/>
        <v>0</v>
      </c>
      <c r="AV636" s="695">
        <f t="shared" si="236"/>
        <v>0</v>
      </c>
      <c r="AW636" s="696">
        <f t="shared" si="242"/>
        <v>0</v>
      </c>
      <c r="AX636" s="697">
        <f t="shared" si="243"/>
        <v>0</v>
      </c>
      <c r="AY636" s="700">
        <f t="shared" si="252"/>
        <v>3443.1455555555558</v>
      </c>
      <c r="AZ636" s="697">
        <f t="shared" si="253"/>
        <v>3641.9977777777776</v>
      </c>
      <c r="BA636" s="680"/>
    </row>
    <row r="637" spans="1:53">
      <c r="A637" s="154" t="s">
        <v>279</v>
      </c>
      <c r="B637" s="154" t="s">
        <v>352</v>
      </c>
      <c r="C637" s="173">
        <v>229319</v>
      </c>
      <c r="D637" s="150">
        <v>9</v>
      </c>
      <c r="E637" s="148" t="s">
        <v>393</v>
      </c>
      <c r="F637" s="550" t="s">
        <v>393</v>
      </c>
      <c r="G637" s="679">
        <v>36572</v>
      </c>
      <c r="H637" s="678">
        <v>41942</v>
      </c>
      <c r="I637" s="679">
        <v>29524</v>
      </c>
      <c r="J637" s="678">
        <v>31074</v>
      </c>
      <c r="K637" s="679">
        <v>0</v>
      </c>
      <c r="L637" s="678">
        <v>0</v>
      </c>
      <c r="M637" s="679">
        <v>46369</v>
      </c>
      <c r="N637" s="678">
        <v>52108</v>
      </c>
      <c r="O637" s="694">
        <f t="shared" si="244"/>
        <v>112465</v>
      </c>
      <c r="P637" s="695">
        <f t="shared" si="237"/>
        <v>3748.8333333333335</v>
      </c>
      <c r="Q637" s="696">
        <f t="shared" si="245"/>
        <v>125124</v>
      </c>
      <c r="R637" s="697">
        <f t="shared" si="238"/>
        <v>4170.8</v>
      </c>
      <c r="S637" s="679">
        <v>14940</v>
      </c>
      <c r="T637" s="678">
        <v>17413</v>
      </c>
      <c r="U637" s="694">
        <f t="shared" si="246"/>
        <v>112465</v>
      </c>
      <c r="V637" s="698">
        <f t="shared" si="247"/>
        <v>125124</v>
      </c>
      <c r="W637" s="714">
        <v>48048</v>
      </c>
      <c r="X637" s="715">
        <v>26694</v>
      </c>
      <c r="Y637" s="679">
        <v>50176</v>
      </c>
      <c r="Z637" s="678">
        <v>31575</v>
      </c>
      <c r="AA637" s="679">
        <v>36111</v>
      </c>
      <c r="AB637" s="678">
        <v>40426</v>
      </c>
      <c r="AC637" s="679">
        <v>34126</v>
      </c>
      <c r="AD637" s="678">
        <v>35801</v>
      </c>
      <c r="AE637" s="694">
        <f t="shared" si="248"/>
        <v>168461</v>
      </c>
      <c r="AF637" s="695">
        <f t="shared" si="239"/>
        <v>187.17888888888888</v>
      </c>
      <c r="AG637" s="696">
        <f t="shared" si="249"/>
        <v>134496</v>
      </c>
      <c r="AH637" s="697">
        <f t="shared" si="240"/>
        <v>149.44</v>
      </c>
      <c r="AI637" s="679"/>
      <c r="AJ637" s="678"/>
      <c r="AK637" s="694">
        <f t="shared" si="250"/>
        <v>0</v>
      </c>
      <c r="AL637" s="698">
        <f t="shared" si="251"/>
        <v>0</v>
      </c>
      <c r="AM637" s="679"/>
      <c r="AN637" s="678"/>
      <c r="AO637" s="679"/>
      <c r="AP637" s="678"/>
      <c r="AQ637" s="679"/>
      <c r="AR637" s="678"/>
      <c r="AS637" s="679"/>
      <c r="AT637" s="678"/>
      <c r="AU637" s="699">
        <f t="shared" si="241"/>
        <v>0</v>
      </c>
      <c r="AV637" s="695">
        <f t="shared" si="236"/>
        <v>0</v>
      </c>
      <c r="AW637" s="696">
        <f t="shared" si="242"/>
        <v>0</v>
      </c>
      <c r="AX637" s="697">
        <f t="shared" si="243"/>
        <v>0</v>
      </c>
      <c r="AY637" s="700">
        <f t="shared" si="252"/>
        <v>3936.0122222222226</v>
      </c>
      <c r="AZ637" s="697">
        <f t="shared" si="253"/>
        <v>4320.24</v>
      </c>
      <c r="BA637" s="680"/>
    </row>
    <row r="638" spans="1:53">
      <c r="A638" s="154" t="s">
        <v>279</v>
      </c>
      <c r="B638" s="290" t="s">
        <v>353</v>
      </c>
      <c r="C638" s="173">
        <v>228680</v>
      </c>
      <c r="D638" s="150">
        <v>9</v>
      </c>
      <c r="E638" s="148" t="s">
        <v>393</v>
      </c>
      <c r="F638" s="550" t="s">
        <v>393</v>
      </c>
      <c r="G638" s="679">
        <v>43385</v>
      </c>
      <c r="H638" s="678">
        <v>46520</v>
      </c>
      <c r="I638" s="679">
        <v>28846</v>
      </c>
      <c r="J638" s="678">
        <v>33478</v>
      </c>
      <c r="K638" s="679">
        <v>0</v>
      </c>
      <c r="L638" s="678">
        <v>0</v>
      </c>
      <c r="M638" s="679">
        <v>53229</v>
      </c>
      <c r="N638" s="678">
        <v>69227</v>
      </c>
      <c r="O638" s="694">
        <f t="shared" si="244"/>
        <v>125460</v>
      </c>
      <c r="P638" s="695">
        <f t="shared" si="237"/>
        <v>4182</v>
      </c>
      <c r="Q638" s="696">
        <f t="shared" si="245"/>
        <v>149225</v>
      </c>
      <c r="R638" s="697">
        <f t="shared" si="238"/>
        <v>4974.166666666667</v>
      </c>
      <c r="S638" s="679">
        <v>5507</v>
      </c>
      <c r="T638" s="678">
        <v>10550</v>
      </c>
      <c r="U638" s="694">
        <f t="shared" si="246"/>
        <v>125460</v>
      </c>
      <c r="V638" s="698">
        <f t="shared" si="247"/>
        <v>149225</v>
      </c>
      <c r="W638" s="714">
        <v>33193</v>
      </c>
      <c r="X638" s="715">
        <v>7544</v>
      </c>
      <c r="Y638" s="714">
        <v>30207</v>
      </c>
      <c r="Z638" s="715">
        <v>7018</v>
      </c>
      <c r="AA638" s="714">
        <v>10606</v>
      </c>
      <c r="AB638" s="715">
        <v>5976</v>
      </c>
      <c r="AC638" s="679">
        <v>10968</v>
      </c>
      <c r="AD638" s="678">
        <v>14974</v>
      </c>
      <c r="AE638" s="694">
        <f t="shared" si="248"/>
        <v>84974</v>
      </c>
      <c r="AF638" s="695">
        <f t="shared" si="239"/>
        <v>94.415555555555557</v>
      </c>
      <c r="AG638" s="696">
        <f t="shared" si="249"/>
        <v>35512</v>
      </c>
      <c r="AH638" s="697">
        <f t="shared" si="240"/>
        <v>39.457777777777778</v>
      </c>
      <c r="AI638" s="679"/>
      <c r="AJ638" s="678"/>
      <c r="AK638" s="694">
        <f t="shared" si="250"/>
        <v>0</v>
      </c>
      <c r="AL638" s="698">
        <f t="shared" si="251"/>
        <v>0</v>
      </c>
      <c r="AM638" s="679"/>
      <c r="AN638" s="678"/>
      <c r="AO638" s="679"/>
      <c r="AP638" s="678"/>
      <c r="AQ638" s="679"/>
      <c r="AR638" s="678"/>
      <c r="AS638" s="679"/>
      <c r="AT638" s="678"/>
      <c r="AU638" s="699">
        <f t="shared" si="241"/>
        <v>0</v>
      </c>
      <c r="AV638" s="695">
        <f t="shared" si="236"/>
        <v>0</v>
      </c>
      <c r="AW638" s="696">
        <f t="shared" si="242"/>
        <v>0</v>
      </c>
      <c r="AX638" s="697">
        <f t="shared" si="243"/>
        <v>0</v>
      </c>
      <c r="AY638" s="700">
        <f t="shared" si="252"/>
        <v>4276.4155555555553</v>
      </c>
      <c r="AZ638" s="697">
        <f t="shared" si="253"/>
        <v>5013.6244444444446</v>
      </c>
      <c r="BA638" s="680"/>
    </row>
    <row r="639" spans="1:53">
      <c r="A639" s="154" t="s">
        <v>279</v>
      </c>
      <c r="B639" s="290" t="s">
        <v>354</v>
      </c>
      <c r="C639" s="173">
        <v>225308</v>
      </c>
      <c r="D639" s="150">
        <v>9</v>
      </c>
      <c r="E639" s="148" t="s">
        <v>393</v>
      </c>
      <c r="F639" s="550" t="s">
        <v>393</v>
      </c>
      <c r="G639" s="679">
        <v>52993</v>
      </c>
      <c r="H639" s="678">
        <v>56357</v>
      </c>
      <c r="I639" s="679">
        <v>14283</v>
      </c>
      <c r="J639" s="678">
        <v>14390</v>
      </c>
      <c r="K639" s="679">
        <v>11096</v>
      </c>
      <c r="L639" s="678">
        <v>9836</v>
      </c>
      <c r="M639" s="679">
        <v>55693</v>
      </c>
      <c r="N639" s="678">
        <v>63749</v>
      </c>
      <c r="O639" s="694">
        <f t="shared" si="244"/>
        <v>134065</v>
      </c>
      <c r="P639" s="695">
        <f t="shared" si="237"/>
        <v>4468.833333333333</v>
      </c>
      <c r="Q639" s="696">
        <f t="shared" si="245"/>
        <v>144332</v>
      </c>
      <c r="R639" s="697">
        <f t="shared" si="238"/>
        <v>4811.0666666666666</v>
      </c>
      <c r="S639" s="679">
        <v>10856</v>
      </c>
      <c r="T639" s="678">
        <v>13943</v>
      </c>
      <c r="U639" s="694">
        <f t="shared" si="246"/>
        <v>134065</v>
      </c>
      <c r="V639" s="698">
        <f t="shared" si="247"/>
        <v>144332</v>
      </c>
      <c r="W639" s="679">
        <v>61705</v>
      </c>
      <c r="X639" s="678">
        <v>61367</v>
      </c>
      <c r="Y639" s="679">
        <v>47948</v>
      </c>
      <c r="Z639" s="678">
        <v>29209</v>
      </c>
      <c r="AA639" s="679">
        <v>42737</v>
      </c>
      <c r="AB639" s="678">
        <v>45199</v>
      </c>
      <c r="AC639" s="679">
        <v>44754</v>
      </c>
      <c r="AD639" s="678">
        <v>58221</v>
      </c>
      <c r="AE639" s="694">
        <f t="shared" si="248"/>
        <v>197144</v>
      </c>
      <c r="AF639" s="695">
        <f t="shared" si="239"/>
        <v>219.04888888888888</v>
      </c>
      <c r="AG639" s="696">
        <f t="shared" si="249"/>
        <v>193996</v>
      </c>
      <c r="AH639" s="697">
        <f t="shared" si="240"/>
        <v>215.55111111111111</v>
      </c>
      <c r="AI639" s="679"/>
      <c r="AJ639" s="678"/>
      <c r="AK639" s="694">
        <f t="shared" si="250"/>
        <v>0</v>
      </c>
      <c r="AL639" s="698">
        <f t="shared" si="251"/>
        <v>0</v>
      </c>
      <c r="AM639" s="679"/>
      <c r="AN639" s="678"/>
      <c r="AO639" s="679"/>
      <c r="AP639" s="678"/>
      <c r="AQ639" s="679"/>
      <c r="AR639" s="678"/>
      <c r="AS639" s="679"/>
      <c r="AT639" s="678"/>
      <c r="AU639" s="699">
        <f t="shared" si="241"/>
        <v>0</v>
      </c>
      <c r="AV639" s="695">
        <f t="shared" si="236"/>
        <v>0</v>
      </c>
      <c r="AW639" s="696">
        <f t="shared" si="242"/>
        <v>0</v>
      </c>
      <c r="AX639" s="697">
        <f t="shared" si="243"/>
        <v>0</v>
      </c>
      <c r="AY639" s="700">
        <f t="shared" si="252"/>
        <v>4687.8822222222216</v>
      </c>
      <c r="AZ639" s="697">
        <f t="shared" si="253"/>
        <v>5026.6177777777775</v>
      </c>
      <c r="BA639" s="680"/>
    </row>
    <row r="640" spans="1:53">
      <c r="A640" s="154" t="s">
        <v>279</v>
      </c>
      <c r="B640" s="154" t="s">
        <v>355</v>
      </c>
      <c r="C640" s="173">
        <v>229504</v>
      </c>
      <c r="D640" s="150">
        <v>9</v>
      </c>
      <c r="E640" s="148" t="s">
        <v>393</v>
      </c>
      <c r="F640" s="550" t="s">
        <v>393</v>
      </c>
      <c r="G640" s="679">
        <v>24036</v>
      </c>
      <c r="H640" s="678">
        <v>26406</v>
      </c>
      <c r="I640" s="679">
        <v>4052</v>
      </c>
      <c r="J640" s="678">
        <v>4699</v>
      </c>
      <c r="K640" s="679">
        <v>5547</v>
      </c>
      <c r="L640" s="678">
        <v>6163</v>
      </c>
      <c r="M640" s="679">
        <v>23848</v>
      </c>
      <c r="N640" s="678">
        <v>26680</v>
      </c>
      <c r="O640" s="694">
        <f t="shared" si="244"/>
        <v>57483</v>
      </c>
      <c r="P640" s="695">
        <f t="shared" si="237"/>
        <v>1916.1</v>
      </c>
      <c r="Q640" s="696">
        <f t="shared" si="245"/>
        <v>63948</v>
      </c>
      <c r="R640" s="697">
        <f t="shared" si="238"/>
        <v>2131.6</v>
      </c>
      <c r="S640" s="679">
        <v>5398</v>
      </c>
      <c r="T640" s="678">
        <v>5080</v>
      </c>
      <c r="U640" s="694">
        <f t="shared" si="246"/>
        <v>57483</v>
      </c>
      <c r="V640" s="698">
        <f t="shared" si="247"/>
        <v>63948</v>
      </c>
      <c r="W640" s="679">
        <v>53251</v>
      </c>
      <c r="X640" s="678">
        <v>65220</v>
      </c>
      <c r="Y640" s="679">
        <v>35604</v>
      </c>
      <c r="Z640" s="678">
        <v>51276</v>
      </c>
      <c r="AA640" s="679">
        <v>36109</v>
      </c>
      <c r="AB640" s="678">
        <v>19686</v>
      </c>
      <c r="AC640" s="679">
        <v>63028</v>
      </c>
      <c r="AD640" s="678">
        <v>44630</v>
      </c>
      <c r="AE640" s="694">
        <f t="shared" si="248"/>
        <v>187992</v>
      </c>
      <c r="AF640" s="695">
        <f t="shared" si="239"/>
        <v>208.88</v>
      </c>
      <c r="AG640" s="696">
        <f t="shared" si="249"/>
        <v>180812</v>
      </c>
      <c r="AH640" s="697">
        <f t="shared" si="240"/>
        <v>200.90222222222224</v>
      </c>
      <c r="AI640" s="679"/>
      <c r="AJ640" s="678"/>
      <c r="AK640" s="694">
        <f t="shared" si="250"/>
        <v>0</v>
      </c>
      <c r="AL640" s="698">
        <f t="shared" si="251"/>
        <v>0</v>
      </c>
      <c r="AM640" s="679"/>
      <c r="AN640" s="678"/>
      <c r="AO640" s="679"/>
      <c r="AP640" s="678"/>
      <c r="AQ640" s="679"/>
      <c r="AR640" s="678"/>
      <c r="AS640" s="679"/>
      <c r="AT640" s="678"/>
      <c r="AU640" s="699">
        <f t="shared" si="241"/>
        <v>0</v>
      </c>
      <c r="AV640" s="695">
        <f t="shared" si="236"/>
        <v>0</v>
      </c>
      <c r="AW640" s="696">
        <f t="shared" si="242"/>
        <v>0</v>
      </c>
      <c r="AX640" s="697">
        <f t="shared" si="243"/>
        <v>0</v>
      </c>
      <c r="AY640" s="700">
        <f t="shared" si="252"/>
        <v>2124.98</v>
      </c>
      <c r="AZ640" s="697">
        <f t="shared" si="253"/>
        <v>2332.5022222222224</v>
      </c>
      <c r="BA640" s="680"/>
    </row>
    <row r="641" spans="1:53">
      <c r="A641" s="154" t="s">
        <v>279</v>
      </c>
      <c r="B641" s="154" t="s">
        <v>356</v>
      </c>
      <c r="C641" s="173">
        <v>229540</v>
      </c>
      <c r="D641" s="150">
        <v>9</v>
      </c>
      <c r="E641" s="148" t="s">
        <v>393</v>
      </c>
      <c r="F641" s="550" t="s">
        <v>393</v>
      </c>
      <c r="G641" s="679">
        <v>31529</v>
      </c>
      <c r="H641" s="678">
        <v>31265</v>
      </c>
      <c r="I641" s="679">
        <v>6856</v>
      </c>
      <c r="J641" s="678">
        <v>7044</v>
      </c>
      <c r="K641" s="679">
        <v>2115</v>
      </c>
      <c r="L641" s="678">
        <v>2341</v>
      </c>
      <c r="M641" s="679">
        <v>33728</v>
      </c>
      <c r="N641" s="678">
        <v>34538</v>
      </c>
      <c r="O641" s="694">
        <f t="shared" si="244"/>
        <v>74228</v>
      </c>
      <c r="P641" s="695">
        <f t="shared" si="237"/>
        <v>2474.2666666666669</v>
      </c>
      <c r="Q641" s="696">
        <f t="shared" si="245"/>
        <v>75188</v>
      </c>
      <c r="R641" s="697">
        <f t="shared" si="238"/>
        <v>2506.2666666666669</v>
      </c>
      <c r="S641" s="679">
        <v>2867</v>
      </c>
      <c r="T641" s="678">
        <v>2460</v>
      </c>
      <c r="U641" s="694">
        <f t="shared" si="246"/>
        <v>74228</v>
      </c>
      <c r="V641" s="698">
        <f t="shared" si="247"/>
        <v>75188</v>
      </c>
      <c r="W641" s="679">
        <v>41861</v>
      </c>
      <c r="X641" s="678">
        <v>48547</v>
      </c>
      <c r="Y641" s="679">
        <v>36039</v>
      </c>
      <c r="Z641" s="678">
        <v>31612</v>
      </c>
      <c r="AA641" s="679">
        <v>57549</v>
      </c>
      <c r="AB641" s="678">
        <v>53527</v>
      </c>
      <c r="AC641" s="679">
        <v>53414</v>
      </c>
      <c r="AD641" s="678">
        <v>32052</v>
      </c>
      <c r="AE641" s="694">
        <f t="shared" si="248"/>
        <v>188863</v>
      </c>
      <c r="AF641" s="695">
        <f t="shared" si="239"/>
        <v>209.84777777777776</v>
      </c>
      <c r="AG641" s="696">
        <f t="shared" si="249"/>
        <v>165738</v>
      </c>
      <c r="AH641" s="697">
        <f t="shared" si="240"/>
        <v>184.15333333333334</v>
      </c>
      <c r="AI641" s="679"/>
      <c r="AJ641" s="678"/>
      <c r="AK641" s="694">
        <f t="shared" si="250"/>
        <v>0</v>
      </c>
      <c r="AL641" s="698">
        <f t="shared" si="251"/>
        <v>0</v>
      </c>
      <c r="AM641" s="679"/>
      <c r="AN641" s="678"/>
      <c r="AO641" s="679"/>
      <c r="AP641" s="678"/>
      <c r="AQ641" s="679"/>
      <c r="AR641" s="678"/>
      <c r="AS641" s="679"/>
      <c r="AT641" s="678"/>
      <c r="AU641" s="699">
        <f t="shared" si="241"/>
        <v>0</v>
      </c>
      <c r="AV641" s="695">
        <f t="shared" si="236"/>
        <v>0</v>
      </c>
      <c r="AW641" s="696">
        <f t="shared" si="242"/>
        <v>0</v>
      </c>
      <c r="AX641" s="697">
        <f t="shared" si="243"/>
        <v>0</v>
      </c>
      <c r="AY641" s="700">
        <f t="shared" si="252"/>
        <v>2684.1144444444444</v>
      </c>
      <c r="AZ641" s="697">
        <f t="shared" si="253"/>
        <v>2690.42</v>
      </c>
      <c r="BA641" s="680"/>
    </row>
    <row r="642" spans="1:53">
      <c r="A642" s="154" t="s">
        <v>279</v>
      </c>
      <c r="B642" s="154" t="s">
        <v>357</v>
      </c>
      <c r="C642" s="173">
        <v>229799</v>
      </c>
      <c r="D642" s="150">
        <v>9</v>
      </c>
      <c r="E642" s="148" t="s">
        <v>393</v>
      </c>
      <c r="F642" s="550" t="s">
        <v>393</v>
      </c>
      <c r="G642" s="679">
        <v>38668</v>
      </c>
      <c r="H642" s="678">
        <v>42599</v>
      </c>
      <c r="I642" s="679">
        <v>6174</v>
      </c>
      <c r="J642" s="678">
        <v>6799</v>
      </c>
      <c r="K642" s="679">
        <v>3427</v>
      </c>
      <c r="L642" s="678">
        <v>4355</v>
      </c>
      <c r="M642" s="679">
        <v>45241</v>
      </c>
      <c r="N642" s="678">
        <v>51708</v>
      </c>
      <c r="O642" s="694">
        <f t="shared" si="244"/>
        <v>93510</v>
      </c>
      <c r="P642" s="695">
        <f t="shared" si="237"/>
        <v>3117</v>
      </c>
      <c r="Q642" s="696">
        <f t="shared" si="245"/>
        <v>105461</v>
      </c>
      <c r="R642" s="697">
        <f t="shared" si="238"/>
        <v>3515.3666666666668</v>
      </c>
      <c r="S642" s="679">
        <v>5461</v>
      </c>
      <c r="T642" s="678">
        <v>6340</v>
      </c>
      <c r="U642" s="694">
        <f t="shared" si="246"/>
        <v>93510</v>
      </c>
      <c r="V642" s="698">
        <f t="shared" si="247"/>
        <v>105461</v>
      </c>
      <c r="W642" s="679">
        <v>23281</v>
      </c>
      <c r="X642" s="678">
        <v>37679</v>
      </c>
      <c r="Y642" s="679">
        <v>24296</v>
      </c>
      <c r="Z642" s="678">
        <v>27770</v>
      </c>
      <c r="AA642" s="679">
        <v>24572</v>
      </c>
      <c r="AB642" s="678">
        <v>27855</v>
      </c>
      <c r="AC642" s="679">
        <v>40112</v>
      </c>
      <c r="AD642" s="678">
        <v>51085</v>
      </c>
      <c r="AE642" s="694">
        <f t="shared" si="248"/>
        <v>112261</v>
      </c>
      <c r="AF642" s="695">
        <f t="shared" si="239"/>
        <v>124.73444444444445</v>
      </c>
      <c r="AG642" s="696">
        <f t="shared" si="249"/>
        <v>144389</v>
      </c>
      <c r="AH642" s="697">
        <f t="shared" si="240"/>
        <v>160.43222222222221</v>
      </c>
      <c r="AI642" s="679"/>
      <c r="AJ642" s="678"/>
      <c r="AK642" s="694">
        <f t="shared" si="250"/>
        <v>0</v>
      </c>
      <c r="AL642" s="698">
        <f t="shared" si="251"/>
        <v>0</v>
      </c>
      <c r="AM642" s="679"/>
      <c r="AN642" s="678"/>
      <c r="AO642" s="679"/>
      <c r="AP642" s="678"/>
      <c r="AQ642" s="679"/>
      <c r="AR642" s="678"/>
      <c r="AS642" s="679"/>
      <c r="AT642" s="678"/>
      <c r="AU642" s="699">
        <f t="shared" si="241"/>
        <v>0</v>
      </c>
      <c r="AV642" s="695">
        <f t="shared" si="236"/>
        <v>0</v>
      </c>
      <c r="AW642" s="696">
        <f t="shared" si="242"/>
        <v>0</v>
      </c>
      <c r="AX642" s="697">
        <f t="shared" si="243"/>
        <v>0</v>
      </c>
      <c r="AY642" s="700">
        <f t="shared" si="252"/>
        <v>3241.7344444444443</v>
      </c>
      <c r="AZ642" s="697">
        <f t="shared" si="253"/>
        <v>3675.798888888889</v>
      </c>
      <c r="BA642" s="680"/>
    </row>
    <row r="643" spans="1:53">
      <c r="A643" s="154" t="s">
        <v>279</v>
      </c>
      <c r="B643" s="154" t="s">
        <v>358</v>
      </c>
      <c r="C643" s="173">
        <v>229841</v>
      </c>
      <c r="D643" s="150">
        <v>9</v>
      </c>
      <c r="E643" s="148" t="s">
        <v>393</v>
      </c>
      <c r="F643" s="550" t="s">
        <v>393</v>
      </c>
      <c r="G643" s="679">
        <v>50540</v>
      </c>
      <c r="H643" s="678">
        <v>51819</v>
      </c>
      <c r="I643" s="679">
        <v>10405</v>
      </c>
      <c r="J643" s="678">
        <v>11625</v>
      </c>
      <c r="K643" s="679">
        <v>5452</v>
      </c>
      <c r="L643" s="678">
        <v>5956</v>
      </c>
      <c r="M643" s="679">
        <v>56027</v>
      </c>
      <c r="N643" s="678">
        <v>61786</v>
      </c>
      <c r="O643" s="694">
        <f t="shared" si="244"/>
        <v>122424</v>
      </c>
      <c r="P643" s="695">
        <f t="shared" si="237"/>
        <v>4080.8</v>
      </c>
      <c r="Q643" s="696">
        <f t="shared" si="245"/>
        <v>131186</v>
      </c>
      <c r="R643" s="697">
        <f t="shared" si="238"/>
        <v>4372.8666666666668</v>
      </c>
      <c r="S643" s="679">
        <v>8129</v>
      </c>
      <c r="T643" s="678">
        <v>9205</v>
      </c>
      <c r="U643" s="694">
        <f t="shared" si="246"/>
        <v>122424</v>
      </c>
      <c r="V643" s="698">
        <f t="shared" si="247"/>
        <v>131186</v>
      </c>
      <c r="W643" s="679">
        <v>5774</v>
      </c>
      <c r="X643" s="678">
        <v>6716</v>
      </c>
      <c r="Y643" s="679">
        <v>3482</v>
      </c>
      <c r="Z643" s="678">
        <v>4125</v>
      </c>
      <c r="AA643" s="679">
        <v>7076</v>
      </c>
      <c r="AB643" s="678">
        <v>8246</v>
      </c>
      <c r="AC643" s="679">
        <v>9395</v>
      </c>
      <c r="AD643" s="678">
        <v>6345</v>
      </c>
      <c r="AE643" s="694">
        <f t="shared" si="248"/>
        <v>25727</v>
      </c>
      <c r="AF643" s="695">
        <f t="shared" si="239"/>
        <v>28.585555555555555</v>
      </c>
      <c r="AG643" s="696">
        <f t="shared" si="249"/>
        <v>25432</v>
      </c>
      <c r="AH643" s="697">
        <f t="shared" si="240"/>
        <v>28.257777777777779</v>
      </c>
      <c r="AI643" s="679"/>
      <c r="AJ643" s="678"/>
      <c r="AK643" s="694">
        <f t="shared" si="250"/>
        <v>0</v>
      </c>
      <c r="AL643" s="698">
        <f t="shared" si="251"/>
        <v>0</v>
      </c>
      <c r="AM643" s="679"/>
      <c r="AN643" s="678"/>
      <c r="AO643" s="679"/>
      <c r="AP643" s="678"/>
      <c r="AQ643" s="679"/>
      <c r="AR643" s="678"/>
      <c r="AS643" s="679"/>
      <c r="AT643" s="678"/>
      <c r="AU643" s="699">
        <f t="shared" si="241"/>
        <v>0</v>
      </c>
      <c r="AV643" s="695">
        <f t="shared" si="236"/>
        <v>0</v>
      </c>
      <c r="AW643" s="696">
        <f t="shared" si="242"/>
        <v>0</v>
      </c>
      <c r="AX643" s="697">
        <f t="shared" si="243"/>
        <v>0</v>
      </c>
      <c r="AY643" s="700">
        <f t="shared" si="252"/>
        <v>4109.3855555555556</v>
      </c>
      <c r="AZ643" s="697">
        <f t="shared" si="253"/>
        <v>4401.1244444444446</v>
      </c>
      <c r="BA643" s="680"/>
    </row>
    <row r="644" spans="1:53">
      <c r="A644" s="154" t="s">
        <v>279</v>
      </c>
      <c r="B644" s="154" t="s">
        <v>359</v>
      </c>
      <c r="C644" s="173">
        <v>223922</v>
      </c>
      <c r="D644" s="152">
        <v>10</v>
      </c>
      <c r="E644" s="148" t="s">
        <v>393</v>
      </c>
      <c r="F644" s="550" t="s">
        <v>393</v>
      </c>
      <c r="G644" s="679">
        <v>10699</v>
      </c>
      <c r="H644" s="678">
        <v>12536</v>
      </c>
      <c r="I644" s="679">
        <v>1803</v>
      </c>
      <c r="J644" s="678">
        <v>2285</v>
      </c>
      <c r="K644" s="679">
        <v>1016</v>
      </c>
      <c r="L644" s="678">
        <v>989</v>
      </c>
      <c r="M644" s="679">
        <v>13381</v>
      </c>
      <c r="N644" s="678">
        <v>14476</v>
      </c>
      <c r="O644" s="694">
        <f t="shared" si="244"/>
        <v>26899</v>
      </c>
      <c r="P644" s="695">
        <f t="shared" si="237"/>
        <v>896.63333333333333</v>
      </c>
      <c r="Q644" s="696">
        <f t="shared" si="245"/>
        <v>30286</v>
      </c>
      <c r="R644" s="697">
        <f t="shared" si="238"/>
        <v>1009.5333333333333</v>
      </c>
      <c r="S644" s="679">
        <v>3204</v>
      </c>
      <c r="T644" s="678">
        <v>3875</v>
      </c>
      <c r="U644" s="694">
        <f t="shared" si="246"/>
        <v>26899</v>
      </c>
      <c r="V644" s="698">
        <f t="shared" si="247"/>
        <v>30286</v>
      </c>
      <c r="W644" s="679">
        <v>5000</v>
      </c>
      <c r="X644" s="678">
        <v>3930</v>
      </c>
      <c r="Y644" s="679">
        <v>3688</v>
      </c>
      <c r="Z644" s="678">
        <v>13760</v>
      </c>
      <c r="AA644" s="679">
        <v>544</v>
      </c>
      <c r="AB644" s="678">
        <v>2032</v>
      </c>
      <c r="AC644" s="679">
        <v>3472</v>
      </c>
      <c r="AD644" s="678">
        <v>6176</v>
      </c>
      <c r="AE644" s="694">
        <f t="shared" si="248"/>
        <v>12704</v>
      </c>
      <c r="AF644" s="695">
        <f t="shared" si="239"/>
        <v>14.115555555555556</v>
      </c>
      <c r="AG644" s="696">
        <f t="shared" si="249"/>
        <v>25898</v>
      </c>
      <c r="AH644" s="697">
        <f t="shared" si="240"/>
        <v>28.775555555555556</v>
      </c>
      <c r="AI644" s="679"/>
      <c r="AJ644" s="678"/>
      <c r="AK644" s="694">
        <f t="shared" si="250"/>
        <v>0</v>
      </c>
      <c r="AL644" s="698">
        <f t="shared" si="251"/>
        <v>0</v>
      </c>
      <c r="AM644" s="679"/>
      <c r="AN644" s="678"/>
      <c r="AO644" s="679"/>
      <c r="AP644" s="678"/>
      <c r="AQ644" s="679"/>
      <c r="AR644" s="678"/>
      <c r="AS644" s="679"/>
      <c r="AT644" s="678"/>
      <c r="AU644" s="699">
        <f t="shared" si="241"/>
        <v>0</v>
      </c>
      <c r="AV644" s="695">
        <f t="shared" ref="AV644:AV730" si="254">+AU644/24</f>
        <v>0</v>
      </c>
      <c r="AW644" s="696">
        <f t="shared" si="242"/>
        <v>0</v>
      </c>
      <c r="AX644" s="697">
        <f t="shared" si="243"/>
        <v>0</v>
      </c>
      <c r="AY644" s="700">
        <f t="shared" si="252"/>
        <v>910.74888888888893</v>
      </c>
      <c r="AZ644" s="697">
        <f t="shared" si="253"/>
        <v>1038.3088888888888</v>
      </c>
      <c r="BA644" s="680"/>
    </row>
    <row r="645" spans="1:53">
      <c r="A645" s="154" t="s">
        <v>279</v>
      </c>
      <c r="B645" s="154" t="s">
        <v>360</v>
      </c>
      <c r="C645" s="173">
        <v>224891</v>
      </c>
      <c r="D645" s="150">
        <v>10</v>
      </c>
      <c r="E645" s="148" t="s">
        <v>393</v>
      </c>
      <c r="F645" s="550" t="s">
        <v>393</v>
      </c>
      <c r="G645" s="679">
        <v>11563</v>
      </c>
      <c r="H645" s="678">
        <v>11003</v>
      </c>
      <c r="I645" s="679">
        <v>2008</v>
      </c>
      <c r="J645" s="678">
        <v>1850</v>
      </c>
      <c r="K645" s="679">
        <v>756</v>
      </c>
      <c r="L645" s="678">
        <v>581</v>
      </c>
      <c r="M645" s="679">
        <v>11408</v>
      </c>
      <c r="N645" s="678">
        <v>11506</v>
      </c>
      <c r="O645" s="694">
        <f t="shared" si="244"/>
        <v>25735</v>
      </c>
      <c r="P645" s="695">
        <f t="shared" si="237"/>
        <v>857.83333333333337</v>
      </c>
      <c r="Q645" s="696">
        <f t="shared" si="245"/>
        <v>24940</v>
      </c>
      <c r="R645" s="697">
        <f t="shared" si="238"/>
        <v>831.33333333333337</v>
      </c>
      <c r="S645" s="679">
        <v>4798</v>
      </c>
      <c r="T645" s="678">
        <v>3873</v>
      </c>
      <c r="U645" s="694">
        <f t="shared" si="246"/>
        <v>25735</v>
      </c>
      <c r="V645" s="698">
        <f t="shared" si="247"/>
        <v>24940</v>
      </c>
      <c r="W645" s="714">
        <v>18845</v>
      </c>
      <c r="X645" s="715">
        <v>32442</v>
      </c>
      <c r="Y645" s="714">
        <v>34349</v>
      </c>
      <c r="Z645" s="715">
        <v>8598</v>
      </c>
      <c r="AA645" s="714">
        <v>25379</v>
      </c>
      <c r="AB645" s="715">
        <v>8016</v>
      </c>
      <c r="AC645" s="679">
        <v>25422</v>
      </c>
      <c r="AD645" s="678">
        <v>19576</v>
      </c>
      <c r="AE645" s="694">
        <f t="shared" si="248"/>
        <v>103995</v>
      </c>
      <c r="AF645" s="695">
        <f t="shared" si="239"/>
        <v>115.55</v>
      </c>
      <c r="AG645" s="696">
        <f t="shared" si="249"/>
        <v>68632</v>
      </c>
      <c r="AH645" s="697">
        <f t="shared" si="240"/>
        <v>76.257777777777775</v>
      </c>
      <c r="AI645" s="679"/>
      <c r="AJ645" s="678"/>
      <c r="AK645" s="694">
        <f t="shared" si="250"/>
        <v>0</v>
      </c>
      <c r="AL645" s="698">
        <f t="shared" si="251"/>
        <v>0</v>
      </c>
      <c r="AM645" s="679"/>
      <c r="AN645" s="678"/>
      <c r="AO645" s="679"/>
      <c r="AP645" s="678"/>
      <c r="AQ645" s="679"/>
      <c r="AR645" s="678"/>
      <c r="AS645" s="679"/>
      <c r="AT645" s="678"/>
      <c r="AU645" s="699">
        <f t="shared" si="241"/>
        <v>0</v>
      </c>
      <c r="AV645" s="695">
        <f t="shared" si="254"/>
        <v>0</v>
      </c>
      <c r="AW645" s="696">
        <f t="shared" si="242"/>
        <v>0</v>
      </c>
      <c r="AX645" s="697">
        <f t="shared" si="243"/>
        <v>0</v>
      </c>
      <c r="AY645" s="700">
        <f t="shared" si="252"/>
        <v>973.38333333333333</v>
      </c>
      <c r="AZ645" s="697">
        <f t="shared" si="253"/>
        <v>907.5911111111111</v>
      </c>
      <c r="BA645" s="680"/>
    </row>
    <row r="646" spans="1:53">
      <c r="A646" s="154" t="s">
        <v>279</v>
      </c>
      <c r="B646" s="154" t="s">
        <v>361</v>
      </c>
      <c r="C646" s="173">
        <v>224961</v>
      </c>
      <c r="D646" s="150">
        <v>10</v>
      </c>
      <c r="E646" s="148" t="s">
        <v>393</v>
      </c>
      <c r="F646" s="550" t="s">
        <v>393</v>
      </c>
      <c r="G646" s="679">
        <v>17074</v>
      </c>
      <c r="H646" s="678">
        <v>16036</v>
      </c>
      <c r="I646" s="679">
        <v>5350</v>
      </c>
      <c r="J646" s="678">
        <v>4472</v>
      </c>
      <c r="K646" s="679">
        <v>1655</v>
      </c>
      <c r="L646" s="678">
        <v>1427</v>
      </c>
      <c r="M646" s="679">
        <v>17237</v>
      </c>
      <c r="N646" s="678">
        <v>17716</v>
      </c>
      <c r="O646" s="694">
        <f t="shared" si="244"/>
        <v>41316</v>
      </c>
      <c r="P646" s="695">
        <f t="shared" si="237"/>
        <v>1377.2</v>
      </c>
      <c r="Q646" s="696">
        <f t="shared" si="245"/>
        <v>39651</v>
      </c>
      <c r="R646" s="697">
        <f t="shared" si="238"/>
        <v>1321.7</v>
      </c>
      <c r="S646" s="679">
        <v>2274</v>
      </c>
      <c r="T646" s="678">
        <v>2584</v>
      </c>
      <c r="U646" s="694">
        <f t="shared" si="246"/>
        <v>41316</v>
      </c>
      <c r="V646" s="698">
        <f t="shared" si="247"/>
        <v>39651</v>
      </c>
      <c r="W646" s="679">
        <v>13253</v>
      </c>
      <c r="X646" s="678">
        <v>6264</v>
      </c>
      <c r="Y646" s="679">
        <v>5535</v>
      </c>
      <c r="Z646" s="678">
        <v>3862</v>
      </c>
      <c r="AA646" s="679">
        <v>3350</v>
      </c>
      <c r="AB646" s="678">
        <v>2910</v>
      </c>
      <c r="AC646" s="679">
        <v>3840</v>
      </c>
      <c r="AD646" s="678">
        <v>6603</v>
      </c>
      <c r="AE646" s="694">
        <f t="shared" si="248"/>
        <v>25978</v>
      </c>
      <c r="AF646" s="695">
        <f t="shared" si="239"/>
        <v>28.864444444444445</v>
      </c>
      <c r="AG646" s="696">
        <f t="shared" si="249"/>
        <v>19639</v>
      </c>
      <c r="AH646" s="697">
        <f t="shared" si="240"/>
        <v>21.821111111111112</v>
      </c>
      <c r="AI646" s="679"/>
      <c r="AJ646" s="678"/>
      <c r="AK646" s="694">
        <f t="shared" si="250"/>
        <v>0</v>
      </c>
      <c r="AL646" s="698">
        <f t="shared" si="251"/>
        <v>0</v>
      </c>
      <c r="AM646" s="679"/>
      <c r="AN646" s="678"/>
      <c r="AO646" s="679"/>
      <c r="AP646" s="678"/>
      <c r="AQ646" s="679"/>
      <c r="AR646" s="678"/>
      <c r="AS646" s="679"/>
      <c r="AT646" s="678"/>
      <c r="AU646" s="699">
        <f t="shared" si="241"/>
        <v>0</v>
      </c>
      <c r="AV646" s="695">
        <f t="shared" si="254"/>
        <v>0</v>
      </c>
      <c r="AW646" s="696">
        <f t="shared" si="242"/>
        <v>0</v>
      </c>
      <c r="AX646" s="697">
        <f t="shared" si="243"/>
        <v>0</v>
      </c>
      <c r="AY646" s="700">
        <f t="shared" si="252"/>
        <v>1406.0644444444445</v>
      </c>
      <c r="AZ646" s="697">
        <f t="shared" si="253"/>
        <v>1343.5211111111112</v>
      </c>
      <c r="BA646" s="680"/>
    </row>
    <row r="647" spans="1:53">
      <c r="A647" s="154" t="s">
        <v>279</v>
      </c>
      <c r="B647" s="154" t="s">
        <v>362</v>
      </c>
      <c r="C647" s="173">
        <v>226107</v>
      </c>
      <c r="D647" s="150">
        <v>10</v>
      </c>
      <c r="E647" s="148" t="s">
        <v>393</v>
      </c>
      <c r="F647" s="550" t="s">
        <v>393</v>
      </c>
      <c r="G647" s="679">
        <v>17643</v>
      </c>
      <c r="H647" s="678">
        <v>16971</v>
      </c>
      <c r="I647" s="679">
        <v>4179</v>
      </c>
      <c r="J647" s="678">
        <v>4544</v>
      </c>
      <c r="K647" s="679">
        <v>1424</v>
      </c>
      <c r="L647" s="678">
        <v>1638</v>
      </c>
      <c r="M647" s="679">
        <v>20118</v>
      </c>
      <c r="N647" s="678">
        <v>21307</v>
      </c>
      <c r="O647" s="694">
        <f t="shared" si="244"/>
        <v>43364</v>
      </c>
      <c r="P647" s="695">
        <f t="shared" si="237"/>
        <v>1445.4666666666667</v>
      </c>
      <c r="Q647" s="696">
        <f t="shared" si="245"/>
        <v>44460</v>
      </c>
      <c r="R647" s="697">
        <f t="shared" si="238"/>
        <v>1482</v>
      </c>
      <c r="S647" s="679">
        <v>2382</v>
      </c>
      <c r="T647" s="678">
        <v>2285</v>
      </c>
      <c r="U647" s="694">
        <f t="shared" si="246"/>
        <v>43364</v>
      </c>
      <c r="V647" s="698">
        <f t="shared" si="247"/>
        <v>44460</v>
      </c>
      <c r="W647" s="714">
        <v>18826</v>
      </c>
      <c r="X647" s="715">
        <v>1108</v>
      </c>
      <c r="Y647" s="679">
        <v>12088</v>
      </c>
      <c r="Z647" s="678">
        <v>9132</v>
      </c>
      <c r="AA647" s="714">
        <v>10198</v>
      </c>
      <c r="AB647" s="715">
        <v>3017</v>
      </c>
      <c r="AC647" s="714">
        <v>898</v>
      </c>
      <c r="AD647" s="715">
        <v>9510</v>
      </c>
      <c r="AE647" s="694">
        <f t="shared" si="248"/>
        <v>42010</v>
      </c>
      <c r="AF647" s="695">
        <f t="shared" si="239"/>
        <v>46.677777777777777</v>
      </c>
      <c r="AG647" s="696">
        <f t="shared" si="249"/>
        <v>22767</v>
      </c>
      <c r="AH647" s="697">
        <f t="shared" si="240"/>
        <v>25.296666666666667</v>
      </c>
      <c r="AI647" s="679"/>
      <c r="AJ647" s="678"/>
      <c r="AK647" s="694">
        <f t="shared" si="250"/>
        <v>0</v>
      </c>
      <c r="AL647" s="698">
        <f t="shared" si="251"/>
        <v>0</v>
      </c>
      <c r="AM647" s="679"/>
      <c r="AN647" s="678"/>
      <c r="AO647" s="679"/>
      <c r="AP647" s="678"/>
      <c r="AQ647" s="679"/>
      <c r="AR647" s="678"/>
      <c r="AS647" s="679"/>
      <c r="AT647" s="678"/>
      <c r="AU647" s="699">
        <f t="shared" si="241"/>
        <v>0</v>
      </c>
      <c r="AV647" s="695">
        <f t="shared" si="254"/>
        <v>0</v>
      </c>
      <c r="AW647" s="696">
        <f t="shared" si="242"/>
        <v>0</v>
      </c>
      <c r="AX647" s="697">
        <f t="shared" si="243"/>
        <v>0</v>
      </c>
      <c r="AY647" s="700">
        <f t="shared" si="252"/>
        <v>1492.1444444444444</v>
      </c>
      <c r="AZ647" s="697">
        <f t="shared" si="253"/>
        <v>1507.2966666666666</v>
      </c>
      <c r="BA647" s="680"/>
    </row>
    <row r="648" spans="1:53">
      <c r="A648" s="154" t="s">
        <v>279</v>
      </c>
      <c r="B648" s="154" t="s">
        <v>341</v>
      </c>
      <c r="C648" s="173">
        <v>226116</v>
      </c>
      <c r="D648" s="150">
        <v>10</v>
      </c>
      <c r="E648" s="148" t="s">
        <v>393</v>
      </c>
      <c r="F648" s="550" t="s">
        <v>393</v>
      </c>
      <c r="G648" s="679">
        <v>18514</v>
      </c>
      <c r="H648" s="678">
        <v>17198</v>
      </c>
      <c r="I648" s="679">
        <v>2239</v>
      </c>
      <c r="J648" s="678">
        <v>2160</v>
      </c>
      <c r="K648" s="679">
        <v>3428</v>
      </c>
      <c r="L648" s="678">
        <v>3720</v>
      </c>
      <c r="M648" s="679">
        <v>18132</v>
      </c>
      <c r="N648" s="678">
        <v>20080</v>
      </c>
      <c r="O648" s="694">
        <f t="shared" si="244"/>
        <v>42313</v>
      </c>
      <c r="P648" s="695">
        <f t="shared" si="237"/>
        <v>1410.4333333333334</v>
      </c>
      <c r="Q648" s="696">
        <f t="shared" si="245"/>
        <v>43158</v>
      </c>
      <c r="R648" s="697">
        <f t="shared" si="238"/>
        <v>1438.6</v>
      </c>
      <c r="S648" s="679">
        <v>2408</v>
      </c>
      <c r="T648" s="678">
        <v>2618</v>
      </c>
      <c r="U648" s="694">
        <f t="shared" si="246"/>
        <v>42313</v>
      </c>
      <c r="V648" s="698">
        <f t="shared" si="247"/>
        <v>43158</v>
      </c>
      <c r="W648" s="679">
        <v>85364</v>
      </c>
      <c r="X648" s="678">
        <v>74356</v>
      </c>
      <c r="Y648" s="679">
        <v>64544</v>
      </c>
      <c r="Z648" s="678">
        <v>73332</v>
      </c>
      <c r="AA648" s="679">
        <v>94796</v>
      </c>
      <c r="AB648" s="678">
        <v>76282</v>
      </c>
      <c r="AC648" s="679">
        <v>60903</v>
      </c>
      <c r="AD648" s="678">
        <v>81588</v>
      </c>
      <c r="AE648" s="694">
        <f t="shared" si="248"/>
        <v>305607</v>
      </c>
      <c r="AF648" s="695">
        <f t="shared" si="239"/>
        <v>339.56333333333333</v>
      </c>
      <c r="AG648" s="696">
        <f t="shared" si="249"/>
        <v>305558</v>
      </c>
      <c r="AH648" s="697">
        <f t="shared" si="240"/>
        <v>339.50888888888886</v>
      </c>
      <c r="AI648" s="679"/>
      <c r="AJ648" s="678"/>
      <c r="AK648" s="694">
        <f t="shared" si="250"/>
        <v>0</v>
      </c>
      <c r="AL648" s="698">
        <f t="shared" si="251"/>
        <v>0</v>
      </c>
      <c r="AM648" s="679"/>
      <c r="AN648" s="678"/>
      <c r="AO648" s="679"/>
      <c r="AP648" s="678"/>
      <c r="AQ648" s="679"/>
      <c r="AR648" s="678"/>
      <c r="AS648" s="679"/>
      <c r="AT648" s="678"/>
      <c r="AU648" s="699">
        <f t="shared" si="241"/>
        <v>0</v>
      </c>
      <c r="AV648" s="695">
        <f t="shared" si="254"/>
        <v>0</v>
      </c>
      <c r="AW648" s="696">
        <f t="shared" si="242"/>
        <v>0</v>
      </c>
      <c r="AX648" s="697">
        <f t="shared" si="243"/>
        <v>0</v>
      </c>
      <c r="AY648" s="700">
        <f t="shared" si="252"/>
        <v>1749.9966666666667</v>
      </c>
      <c r="AZ648" s="697">
        <f t="shared" si="253"/>
        <v>1778.1088888888887</v>
      </c>
      <c r="BA648" s="680"/>
    </row>
    <row r="649" spans="1:53">
      <c r="A649" s="154" t="s">
        <v>279</v>
      </c>
      <c r="B649" s="168" t="s">
        <v>373</v>
      </c>
      <c r="C649" s="175"/>
      <c r="D649" s="150">
        <v>10</v>
      </c>
      <c r="E649" s="148" t="s">
        <v>393</v>
      </c>
      <c r="F649" s="550" t="s">
        <v>393</v>
      </c>
      <c r="G649" s="679">
        <v>1527</v>
      </c>
      <c r="H649" s="678">
        <v>3968</v>
      </c>
      <c r="I649" s="679">
        <v>763</v>
      </c>
      <c r="J649" s="678">
        <v>696</v>
      </c>
      <c r="K649" s="679">
        <v>689</v>
      </c>
      <c r="L649" s="678">
        <v>402</v>
      </c>
      <c r="M649" s="679">
        <v>3836</v>
      </c>
      <c r="N649" s="678">
        <v>5095</v>
      </c>
      <c r="O649" s="694">
        <f t="shared" si="244"/>
        <v>6815</v>
      </c>
      <c r="P649" s="695">
        <f t="shared" si="237"/>
        <v>227.16666666666666</v>
      </c>
      <c r="Q649" s="696">
        <f t="shared" si="245"/>
        <v>10161</v>
      </c>
      <c r="R649" s="697">
        <f t="shared" si="238"/>
        <v>338.7</v>
      </c>
      <c r="S649" s="679">
        <v>13</v>
      </c>
      <c r="T649" s="678">
        <v>3</v>
      </c>
      <c r="U649" s="694">
        <f t="shared" si="246"/>
        <v>6815</v>
      </c>
      <c r="V649" s="698">
        <f t="shared" si="247"/>
        <v>10161</v>
      </c>
      <c r="W649" s="679">
        <v>0</v>
      </c>
      <c r="X649" s="678">
        <v>0</v>
      </c>
      <c r="Y649" s="679">
        <v>0</v>
      </c>
      <c r="Z649" s="678">
        <v>3056</v>
      </c>
      <c r="AA649" s="679">
        <v>0</v>
      </c>
      <c r="AB649" s="678">
        <v>2776</v>
      </c>
      <c r="AC649" s="679">
        <v>0</v>
      </c>
      <c r="AD649" s="678">
        <v>3216</v>
      </c>
      <c r="AE649" s="694">
        <f t="shared" si="248"/>
        <v>0</v>
      </c>
      <c r="AF649" s="695">
        <f t="shared" si="239"/>
        <v>0</v>
      </c>
      <c r="AG649" s="696">
        <f t="shared" si="249"/>
        <v>9048</v>
      </c>
      <c r="AH649" s="697">
        <f t="shared" si="240"/>
        <v>10.053333333333333</v>
      </c>
      <c r="AI649" s="679"/>
      <c r="AJ649" s="678"/>
      <c r="AK649" s="694">
        <f t="shared" si="250"/>
        <v>0</v>
      </c>
      <c r="AL649" s="698">
        <f t="shared" si="251"/>
        <v>0</v>
      </c>
      <c r="AM649" s="679"/>
      <c r="AN649" s="678"/>
      <c r="AO649" s="679"/>
      <c r="AP649" s="678"/>
      <c r="AQ649" s="679"/>
      <c r="AR649" s="678"/>
      <c r="AS649" s="679"/>
      <c r="AT649" s="678"/>
      <c r="AU649" s="699">
        <f t="shared" si="241"/>
        <v>0</v>
      </c>
      <c r="AV649" s="695">
        <f t="shared" si="254"/>
        <v>0</v>
      </c>
      <c r="AW649" s="696">
        <f t="shared" si="242"/>
        <v>0</v>
      </c>
      <c r="AX649" s="697">
        <f t="shared" si="243"/>
        <v>0</v>
      </c>
      <c r="AY649" s="700">
        <f t="shared" si="252"/>
        <v>227.16666666666666</v>
      </c>
      <c r="AZ649" s="697">
        <f t="shared" si="253"/>
        <v>348.75333333333333</v>
      </c>
      <c r="BA649" s="680"/>
    </row>
    <row r="650" spans="1:53">
      <c r="A650" s="154" t="s">
        <v>279</v>
      </c>
      <c r="B650" s="290" t="s">
        <v>363</v>
      </c>
      <c r="C650" s="173">
        <v>227225</v>
      </c>
      <c r="D650" s="150">
        <v>10</v>
      </c>
      <c r="E650" s="148" t="s">
        <v>393</v>
      </c>
      <c r="F650" s="550" t="s">
        <v>393</v>
      </c>
      <c r="G650" s="679">
        <v>21364</v>
      </c>
      <c r="H650" s="678">
        <v>22714</v>
      </c>
      <c r="I650" s="679">
        <v>6416</v>
      </c>
      <c r="J650" s="678">
        <v>5129</v>
      </c>
      <c r="K650" s="679">
        <v>2581</v>
      </c>
      <c r="L650" s="678">
        <v>2823</v>
      </c>
      <c r="M650" s="679">
        <v>23640</v>
      </c>
      <c r="N650" s="678">
        <v>28523</v>
      </c>
      <c r="O650" s="694">
        <f t="shared" si="244"/>
        <v>54001</v>
      </c>
      <c r="P650" s="695">
        <f t="shared" si="237"/>
        <v>1800.0333333333333</v>
      </c>
      <c r="Q650" s="696">
        <f t="shared" si="245"/>
        <v>59189</v>
      </c>
      <c r="R650" s="697">
        <f t="shared" si="238"/>
        <v>1972.9666666666667</v>
      </c>
      <c r="S650" s="679">
        <v>906</v>
      </c>
      <c r="T650" s="678">
        <v>2562</v>
      </c>
      <c r="U650" s="694">
        <f t="shared" si="246"/>
        <v>54001</v>
      </c>
      <c r="V650" s="698">
        <f t="shared" si="247"/>
        <v>59189</v>
      </c>
      <c r="W650" s="679">
        <v>6844</v>
      </c>
      <c r="X650" s="678">
        <v>13804</v>
      </c>
      <c r="Y650" s="679">
        <v>10808</v>
      </c>
      <c r="Z650" s="678">
        <v>13507</v>
      </c>
      <c r="AA650" s="679">
        <v>6062</v>
      </c>
      <c r="AB650" s="678">
        <v>14209</v>
      </c>
      <c r="AC650" s="679">
        <v>5709</v>
      </c>
      <c r="AD650" s="678">
        <v>7181</v>
      </c>
      <c r="AE650" s="694">
        <f t="shared" si="248"/>
        <v>29423</v>
      </c>
      <c r="AF650" s="695">
        <f t="shared" si="239"/>
        <v>32.69222222222222</v>
      </c>
      <c r="AG650" s="696">
        <f t="shared" si="249"/>
        <v>48701</v>
      </c>
      <c r="AH650" s="697">
        <f t="shared" si="240"/>
        <v>54.112222222222222</v>
      </c>
      <c r="AI650" s="679"/>
      <c r="AJ650" s="678"/>
      <c r="AK650" s="694">
        <f t="shared" si="250"/>
        <v>0</v>
      </c>
      <c r="AL650" s="698">
        <f t="shared" si="251"/>
        <v>0</v>
      </c>
      <c r="AM650" s="679"/>
      <c r="AN650" s="678"/>
      <c r="AO650" s="679"/>
      <c r="AP650" s="678"/>
      <c r="AQ650" s="679"/>
      <c r="AR650" s="678"/>
      <c r="AS650" s="679"/>
      <c r="AT650" s="678"/>
      <c r="AU650" s="699">
        <f t="shared" si="241"/>
        <v>0</v>
      </c>
      <c r="AV650" s="695">
        <f t="shared" si="254"/>
        <v>0</v>
      </c>
      <c r="AW650" s="696">
        <f t="shared" si="242"/>
        <v>0</v>
      </c>
      <c r="AX650" s="697">
        <f t="shared" si="243"/>
        <v>0</v>
      </c>
      <c r="AY650" s="700">
        <f t="shared" si="252"/>
        <v>1832.7255555555555</v>
      </c>
      <c r="AZ650" s="697">
        <f t="shared" si="253"/>
        <v>2027.078888888889</v>
      </c>
      <c r="BA650" s="680"/>
    </row>
    <row r="651" spans="1:53">
      <c r="A651" s="154" t="s">
        <v>279</v>
      </c>
      <c r="B651" s="154" t="s">
        <v>364</v>
      </c>
      <c r="C651" s="173">
        <v>227386</v>
      </c>
      <c r="D651" s="150">
        <v>10</v>
      </c>
      <c r="E651" s="148" t="s">
        <v>393</v>
      </c>
      <c r="F651" s="550" t="s">
        <v>393</v>
      </c>
      <c r="G651" s="679">
        <v>17305</v>
      </c>
      <c r="H651" s="678">
        <v>18223</v>
      </c>
      <c r="I651" s="679">
        <v>3948</v>
      </c>
      <c r="J651" s="678">
        <v>3847</v>
      </c>
      <c r="K651" s="679">
        <v>1187</v>
      </c>
      <c r="L651" s="678">
        <v>1241</v>
      </c>
      <c r="M651" s="679">
        <v>19200</v>
      </c>
      <c r="N651" s="678">
        <v>19924</v>
      </c>
      <c r="O651" s="694">
        <f t="shared" si="244"/>
        <v>41640</v>
      </c>
      <c r="P651" s="695">
        <f t="shared" si="237"/>
        <v>1388</v>
      </c>
      <c r="Q651" s="696">
        <f t="shared" si="245"/>
        <v>43235</v>
      </c>
      <c r="R651" s="697">
        <f t="shared" si="238"/>
        <v>1441.1666666666667</v>
      </c>
      <c r="S651" s="679">
        <v>3202</v>
      </c>
      <c r="T651" s="678">
        <v>3379</v>
      </c>
      <c r="U651" s="694">
        <f t="shared" si="246"/>
        <v>41640</v>
      </c>
      <c r="V651" s="698">
        <f t="shared" si="247"/>
        <v>43235</v>
      </c>
      <c r="W651" s="714">
        <v>6770</v>
      </c>
      <c r="X651" s="715">
        <v>13587</v>
      </c>
      <c r="Y651" s="714">
        <v>11371</v>
      </c>
      <c r="Z651" s="715">
        <v>6446</v>
      </c>
      <c r="AA651" s="679">
        <v>12569</v>
      </c>
      <c r="AB651" s="678">
        <v>14274</v>
      </c>
      <c r="AC651" s="679">
        <v>17430</v>
      </c>
      <c r="AD651" s="678">
        <v>12269</v>
      </c>
      <c r="AE651" s="694">
        <f t="shared" si="248"/>
        <v>48140</v>
      </c>
      <c r="AF651" s="695">
        <f t="shared" si="239"/>
        <v>53.488888888888887</v>
      </c>
      <c r="AG651" s="696">
        <f t="shared" si="249"/>
        <v>46576</v>
      </c>
      <c r="AH651" s="697">
        <f t="shared" si="240"/>
        <v>51.751111111111108</v>
      </c>
      <c r="AI651" s="679"/>
      <c r="AJ651" s="678"/>
      <c r="AK651" s="694">
        <f t="shared" si="250"/>
        <v>0</v>
      </c>
      <c r="AL651" s="698">
        <f t="shared" si="251"/>
        <v>0</v>
      </c>
      <c r="AM651" s="679"/>
      <c r="AN651" s="678"/>
      <c r="AO651" s="679"/>
      <c r="AP651" s="678"/>
      <c r="AQ651" s="679"/>
      <c r="AR651" s="678"/>
      <c r="AS651" s="679"/>
      <c r="AT651" s="678"/>
      <c r="AU651" s="699">
        <f t="shared" si="241"/>
        <v>0</v>
      </c>
      <c r="AV651" s="695">
        <f t="shared" si="254"/>
        <v>0</v>
      </c>
      <c r="AW651" s="696">
        <f t="shared" si="242"/>
        <v>0</v>
      </c>
      <c r="AX651" s="697">
        <f t="shared" si="243"/>
        <v>0</v>
      </c>
      <c r="AY651" s="700">
        <f t="shared" si="252"/>
        <v>1441.4888888888888</v>
      </c>
      <c r="AZ651" s="697">
        <f t="shared" si="253"/>
        <v>1492.9177777777779</v>
      </c>
      <c r="BA651" s="680"/>
    </row>
    <row r="652" spans="1:53">
      <c r="A652" s="154" t="s">
        <v>279</v>
      </c>
      <c r="B652" s="154" t="s">
        <v>365</v>
      </c>
      <c r="C652" s="173">
        <v>227687</v>
      </c>
      <c r="D652" s="150">
        <v>10</v>
      </c>
      <c r="E652" s="148" t="s">
        <v>393</v>
      </c>
      <c r="F652" s="550" t="s">
        <v>393</v>
      </c>
      <c r="G652" s="679">
        <v>7283</v>
      </c>
      <c r="H652" s="678">
        <v>7011</v>
      </c>
      <c r="I652" s="679">
        <v>1170</v>
      </c>
      <c r="J652" s="678">
        <v>1045</v>
      </c>
      <c r="K652" s="679">
        <v>396</v>
      </c>
      <c r="L652" s="678">
        <v>281</v>
      </c>
      <c r="M652" s="679">
        <v>10033</v>
      </c>
      <c r="N652" s="678">
        <v>10390</v>
      </c>
      <c r="O652" s="694">
        <f t="shared" si="244"/>
        <v>18882</v>
      </c>
      <c r="P652" s="695">
        <f t="shared" si="237"/>
        <v>629.4</v>
      </c>
      <c r="Q652" s="696">
        <f t="shared" si="245"/>
        <v>18727</v>
      </c>
      <c r="R652" s="697">
        <f t="shared" si="238"/>
        <v>624.23333333333335</v>
      </c>
      <c r="S652" s="679">
        <v>2816</v>
      </c>
      <c r="T652" s="678">
        <v>3570</v>
      </c>
      <c r="U652" s="694">
        <f t="shared" si="246"/>
        <v>18882</v>
      </c>
      <c r="V652" s="698">
        <f t="shared" si="247"/>
        <v>18727</v>
      </c>
      <c r="W652" s="679">
        <v>215</v>
      </c>
      <c r="X652" s="678">
        <v>2505</v>
      </c>
      <c r="Y652" s="679">
        <v>2356</v>
      </c>
      <c r="Z652" s="678">
        <v>672</v>
      </c>
      <c r="AA652" s="679">
        <v>1764</v>
      </c>
      <c r="AB652" s="678">
        <v>3479</v>
      </c>
      <c r="AC652" s="679">
        <v>161</v>
      </c>
      <c r="AD652" s="678">
        <v>455</v>
      </c>
      <c r="AE652" s="694">
        <f t="shared" si="248"/>
        <v>4496</v>
      </c>
      <c r="AF652" s="695">
        <f t="shared" si="239"/>
        <v>4.9955555555555557</v>
      </c>
      <c r="AG652" s="696">
        <f t="shared" si="249"/>
        <v>7111</v>
      </c>
      <c r="AH652" s="697">
        <f t="shared" si="240"/>
        <v>7.9011111111111108</v>
      </c>
      <c r="AI652" s="679"/>
      <c r="AJ652" s="678"/>
      <c r="AK652" s="694">
        <f t="shared" si="250"/>
        <v>0</v>
      </c>
      <c r="AL652" s="698">
        <f t="shared" si="251"/>
        <v>0</v>
      </c>
      <c r="AM652" s="679"/>
      <c r="AN652" s="678"/>
      <c r="AO652" s="679"/>
      <c r="AP652" s="678"/>
      <c r="AQ652" s="679"/>
      <c r="AR652" s="678"/>
      <c r="AS652" s="679"/>
      <c r="AT652" s="678"/>
      <c r="AU652" s="699">
        <f t="shared" si="241"/>
        <v>0</v>
      </c>
      <c r="AV652" s="695">
        <f t="shared" si="254"/>
        <v>0</v>
      </c>
      <c r="AW652" s="696">
        <f t="shared" si="242"/>
        <v>0</v>
      </c>
      <c r="AX652" s="697">
        <f t="shared" si="243"/>
        <v>0</v>
      </c>
      <c r="AY652" s="700">
        <f t="shared" si="252"/>
        <v>634.39555555555557</v>
      </c>
      <c r="AZ652" s="697">
        <f t="shared" si="253"/>
        <v>632.13444444444451</v>
      </c>
      <c r="BA652" s="680"/>
    </row>
    <row r="653" spans="1:53">
      <c r="A653" s="154" t="s">
        <v>279</v>
      </c>
      <c r="B653" s="169" t="s">
        <v>366</v>
      </c>
      <c r="C653" s="173">
        <v>382911</v>
      </c>
      <c r="D653" s="150">
        <v>10</v>
      </c>
      <c r="E653" s="148" t="s">
        <v>393</v>
      </c>
      <c r="F653" s="550" t="s">
        <v>393</v>
      </c>
      <c r="G653" s="679">
        <v>1011</v>
      </c>
      <c r="H653" s="678">
        <v>1127</v>
      </c>
      <c r="I653" s="679">
        <v>0</v>
      </c>
      <c r="J653" s="678">
        <v>0</v>
      </c>
      <c r="K653" s="679">
        <v>0</v>
      </c>
      <c r="L653" s="678">
        <v>0</v>
      </c>
      <c r="M653" s="679">
        <v>1072</v>
      </c>
      <c r="N653" s="678">
        <v>1014</v>
      </c>
      <c r="O653" s="694">
        <f t="shared" si="244"/>
        <v>2083</v>
      </c>
      <c r="P653" s="695">
        <f t="shared" si="237"/>
        <v>69.433333333333337</v>
      </c>
      <c r="Q653" s="696">
        <f t="shared" si="245"/>
        <v>2141</v>
      </c>
      <c r="R653" s="697">
        <f t="shared" si="238"/>
        <v>71.36666666666666</v>
      </c>
      <c r="S653" s="679"/>
      <c r="T653" s="678"/>
      <c r="U653" s="694">
        <f t="shared" si="246"/>
        <v>0</v>
      </c>
      <c r="V653" s="698">
        <f t="shared" si="247"/>
        <v>0</v>
      </c>
      <c r="W653" s="679">
        <v>0</v>
      </c>
      <c r="X653" s="678">
        <v>0</v>
      </c>
      <c r="Y653" s="679">
        <v>0</v>
      </c>
      <c r="Z653" s="678">
        <v>0</v>
      </c>
      <c r="AA653" s="679">
        <v>0</v>
      </c>
      <c r="AB653" s="678">
        <v>0</v>
      </c>
      <c r="AC653" s="679">
        <v>0</v>
      </c>
      <c r="AD653" s="678">
        <v>0</v>
      </c>
      <c r="AE653" s="694">
        <f t="shared" si="248"/>
        <v>0</v>
      </c>
      <c r="AF653" s="695">
        <f t="shared" si="239"/>
        <v>0</v>
      </c>
      <c r="AG653" s="696">
        <f t="shared" si="249"/>
        <v>0</v>
      </c>
      <c r="AH653" s="697">
        <f t="shared" si="240"/>
        <v>0</v>
      </c>
      <c r="AI653" s="679"/>
      <c r="AJ653" s="678"/>
      <c r="AK653" s="694">
        <f t="shared" si="250"/>
        <v>0</v>
      </c>
      <c r="AL653" s="698">
        <f t="shared" si="251"/>
        <v>0</v>
      </c>
      <c r="AM653" s="679"/>
      <c r="AN653" s="678"/>
      <c r="AO653" s="679"/>
      <c r="AP653" s="678"/>
      <c r="AQ653" s="679"/>
      <c r="AR653" s="678"/>
      <c r="AS653" s="679"/>
      <c r="AT653" s="678"/>
      <c r="AU653" s="699">
        <f t="shared" si="241"/>
        <v>0</v>
      </c>
      <c r="AV653" s="695">
        <f t="shared" si="254"/>
        <v>0</v>
      </c>
      <c r="AW653" s="696">
        <f t="shared" si="242"/>
        <v>0</v>
      </c>
      <c r="AX653" s="697">
        <f t="shared" si="243"/>
        <v>0</v>
      </c>
      <c r="AY653" s="700">
        <f t="shared" si="252"/>
        <v>69.433333333333337</v>
      </c>
      <c r="AZ653" s="697">
        <f t="shared" si="253"/>
        <v>71.36666666666666</v>
      </c>
      <c r="BA653" s="680"/>
    </row>
    <row r="654" spans="1:53">
      <c r="A654" s="154" t="s">
        <v>279</v>
      </c>
      <c r="B654" s="154" t="s">
        <v>367</v>
      </c>
      <c r="C654" s="174">
        <v>408394</v>
      </c>
      <c r="D654" s="150">
        <v>10</v>
      </c>
      <c r="E654" s="148" t="s">
        <v>393</v>
      </c>
      <c r="F654" s="550" t="s">
        <v>393</v>
      </c>
      <c r="G654" s="679">
        <v>6166</v>
      </c>
      <c r="H654" s="678">
        <v>6839</v>
      </c>
      <c r="I654" s="679">
        <v>4064</v>
      </c>
      <c r="J654" s="678">
        <v>5349</v>
      </c>
      <c r="K654" s="679">
        <v>0</v>
      </c>
      <c r="L654" s="678">
        <v>0</v>
      </c>
      <c r="M654" s="679">
        <v>7644</v>
      </c>
      <c r="N654" s="678">
        <v>9000</v>
      </c>
      <c r="O654" s="694">
        <f t="shared" si="244"/>
        <v>17874</v>
      </c>
      <c r="P654" s="695">
        <f t="shared" si="237"/>
        <v>595.79999999999995</v>
      </c>
      <c r="Q654" s="696">
        <f t="shared" si="245"/>
        <v>21188</v>
      </c>
      <c r="R654" s="697">
        <f t="shared" si="238"/>
        <v>706.26666666666665</v>
      </c>
      <c r="S654" s="679">
        <v>2520</v>
      </c>
      <c r="T654" s="678">
        <v>2882</v>
      </c>
      <c r="U654" s="694">
        <f t="shared" si="246"/>
        <v>17874</v>
      </c>
      <c r="V654" s="698">
        <f t="shared" si="247"/>
        <v>21188</v>
      </c>
      <c r="W654" s="679">
        <v>7512</v>
      </c>
      <c r="X654" s="678">
        <v>6066</v>
      </c>
      <c r="Y654" s="714">
        <v>10156</v>
      </c>
      <c r="Z654" s="715">
        <v>4926</v>
      </c>
      <c r="AA654" s="714">
        <v>5532</v>
      </c>
      <c r="AB654" s="715">
        <v>8762</v>
      </c>
      <c r="AC654" s="679">
        <v>6310</v>
      </c>
      <c r="AD654" s="678">
        <v>6887</v>
      </c>
      <c r="AE654" s="694">
        <f t="shared" si="248"/>
        <v>29510</v>
      </c>
      <c r="AF654" s="695">
        <f t="shared" si="239"/>
        <v>32.788888888888891</v>
      </c>
      <c r="AG654" s="696">
        <f t="shared" si="249"/>
        <v>26641</v>
      </c>
      <c r="AH654" s="697">
        <f t="shared" si="240"/>
        <v>29.601111111111113</v>
      </c>
      <c r="AI654" s="679"/>
      <c r="AJ654" s="678"/>
      <c r="AK654" s="694">
        <f t="shared" si="250"/>
        <v>0</v>
      </c>
      <c r="AL654" s="698">
        <f t="shared" si="251"/>
        <v>0</v>
      </c>
      <c r="AM654" s="679"/>
      <c r="AN654" s="678"/>
      <c r="AO654" s="679"/>
      <c r="AP654" s="678"/>
      <c r="AQ654" s="679"/>
      <c r="AR654" s="678"/>
      <c r="AS654" s="679"/>
      <c r="AT654" s="678"/>
      <c r="AU654" s="699">
        <f t="shared" si="241"/>
        <v>0</v>
      </c>
      <c r="AV654" s="695">
        <f t="shared" si="254"/>
        <v>0</v>
      </c>
      <c r="AW654" s="696">
        <f t="shared" si="242"/>
        <v>0</v>
      </c>
      <c r="AX654" s="697">
        <f t="shared" si="243"/>
        <v>0</v>
      </c>
      <c r="AY654" s="700">
        <f t="shared" si="252"/>
        <v>628.58888888888885</v>
      </c>
      <c r="AZ654" s="697">
        <f t="shared" si="253"/>
        <v>735.86777777777775</v>
      </c>
      <c r="BA654" s="680"/>
    </row>
    <row r="655" spans="1:53">
      <c r="A655" s="154" t="s">
        <v>279</v>
      </c>
      <c r="B655" s="154" t="s">
        <v>368</v>
      </c>
      <c r="C655" s="173">
        <v>229328</v>
      </c>
      <c r="D655" s="150">
        <v>10</v>
      </c>
      <c r="E655" s="148" t="s">
        <v>393</v>
      </c>
      <c r="F655" s="550" t="s">
        <v>393</v>
      </c>
      <c r="G655" s="679">
        <v>14505</v>
      </c>
      <c r="H655" s="678">
        <v>15939</v>
      </c>
      <c r="I655" s="679">
        <v>12792</v>
      </c>
      <c r="J655" s="678">
        <v>12551</v>
      </c>
      <c r="K655" s="679">
        <v>0</v>
      </c>
      <c r="L655" s="678">
        <v>0</v>
      </c>
      <c r="M655" s="679">
        <v>15670</v>
      </c>
      <c r="N655" s="678">
        <v>15350</v>
      </c>
      <c r="O655" s="694">
        <f t="shared" si="244"/>
        <v>42967</v>
      </c>
      <c r="P655" s="695">
        <f t="shared" ref="P655:P719" si="255">+O655/30</f>
        <v>1432.2333333333333</v>
      </c>
      <c r="Q655" s="696">
        <f t="shared" si="245"/>
        <v>43840</v>
      </c>
      <c r="R655" s="697">
        <f t="shared" si="238"/>
        <v>1461.3333333333333</v>
      </c>
      <c r="S655" s="679">
        <v>3975</v>
      </c>
      <c r="T655" s="678">
        <v>3680</v>
      </c>
      <c r="U655" s="694">
        <f t="shared" si="246"/>
        <v>42967</v>
      </c>
      <c r="V655" s="698">
        <f t="shared" si="247"/>
        <v>43840</v>
      </c>
      <c r="W655" s="714">
        <v>56447</v>
      </c>
      <c r="X655" s="715">
        <v>19356</v>
      </c>
      <c r="Y655" s="714">
        <v>112373</v>
      </c>
      <c r="Z655" s="715">
        <v>1448</v>
      </c>
      <c r="AA655" s="714">
        <v>107082</v>
      </c>
      <c r="AB655" s="715">
        <v>1982</v>
      </c>
      <c r="AC655" s="714">
        <v>21241</v>
      </c>
      <c r="AD655" s="715">
        <v>4968</v>
      </c>
      <c r="AE655" s="694">
        <f t="shared" si="248"/>
        <v>297143</v>
      </c>
      <c r="AF655" s="695">
        <f t="shared" si="239"/>
        <v>330.1588888888889</v>
      </c>
      <c r="AG655" s="696">
        <f t="shared" si="249"/>
        <v>27754</v>
      </c>
      <c r="AH655" s="697">
        <f t="shared" si="240"/>
        <v>30.837777777777777</v>
      </c>
      <c r="AI655" s="679"/>
      <c r="AJ655" s="678"/>
      <c r="AK655" s="694">
        <f t="shared" si="250"/>
        <v>0</v>
      </c>
      <c r="AL655" s="698">
        <f t="shared" si="251"/>
        <v>0</v>
      </c>
      <c r="AM655" s="679"/>
      <c r="AN655" s="678"/>
      <c r="AO655" s="679"/>
      <c r="AP655" s="678"/>
      <c r="AQ655" s="679"/>
      <c r="AR655" s="678"/>
      <c r="AS655" s="679"/>
      <c r="AT655" s="678"/>
      <c r="AU655" s="699">
        <f t="shared" si="241"/>
        <v>0</v>
      </c>
      <c r="AV655" s="695">
        <f t="shared" si="254"/>
        <v>0</v>
      </c>
      <c r="AW655" s="696">
        <f t="shared" si="242"/>
        <v>0</v>
      </c>
      <c r="AX655" s="697">
        <f t="shared" si="243"/>
        <v>0</v>
      </c>
      <c r="AY655" s="700">
        <f t="shared" si="252"/>
        <v>1762.3922222222222</v>
      </c>
      <c r="AZ655" s="697">
        <f t="shared" si="253"/>
        <v>1492.171111111111</v>
      </c>
      <c r="BA655" s="680"/>
    </row>
    <row r="656" spans="1:53">
      <c r="A656" s="154" t="s">
        <v>279</v>
      </c>
      <c r="B656" s="154" t="s">
        <v>369</v>
      </c>
      <c r="C656" s="173">
        <v>229832</v>
      </c>
      <c r="D656" s="150">
        <v>10</v>
      </c>
      <c r="E656" s="148" t="s">
        <v>393</v>
      </c>
      <c r="F656" s="550" t="s">
        <v>393</v>
      </c>
      <c r="G656" s="679">
        <v>14873</v>
      </c>
      <c r="H656" s="678">
        <v>16065</v>
      </c>
      <c r="I656" s="679">
        <v>8903</v>
      </c>
      <c r="J656" s="678">
        <v>8600</v>
      </c>
      <c r="K656" s="679">
        <v>2233</v>
      </c>
      <c r="L656" s="678">
        <v>2121</v>
      </c>
      <c r="M656" s="679">
        <v>15275</v>
      </c>
      <c r="N656" s="678">
        <v>18928</v>
      </c>
      <c r="O656" s="694">
        <f t="shared" si="244"/>
        <v>41284</v>
      </c>
      <c r="P656" s="695">
        <f t="shared" si="255"/>
        <v>1376.1333333333334</v>
      </c>
      <c r="Q656" s="696">
        <f t="shared" si="245"/>
        <v>45714</v>
      </c>
      <c r="R656" s="697">
        <f t="shared" si="238"/>
        <v>1523.8</v>
      </c>
      <c r="S656" s="679">
        <v>3416</v>
      </c>
      <c r="T656" s="678">
        <v>5585</v>
      </c>
      <c r="U656" s="694">
        <f t="shared" si="246"/>
        <v>41284</v>
      </c>
      <c r="V656" s="698">
        <f t="shared" si="247"/>
        <v>45714</v>
      </c>
      <c r="W656" s="714">
        <v>17492</v>
      </c>
      <c r="X656" s="715">
        <v>75657</v>
      </c>
      <c r="Y656" s="714">
        <v>21182</v>
      </c>
      <c r="Z656" s="715">
        <v>72621</v>
      </c>
      <c r="AA656" s="714">
        <v>9357</v>
      </c>
      <c r="AB656" s="715">
        <v>59683</v>
      </c>
      <c r="AC656" s="714">
        <v>92301</v>
      </c>
      <c r="AD656" s="715">
        <v>63847</v>
      </c>
      <c r="AE656" s="694">
        <f t="shared" si="248"/>
        <v>140332</v>
      </c>
      <c r="AF656" s="695">
        <f t="shared" si="239"/>
        <v>155.92444444444445</v>
      </c>
      <c r="AG656" s="696">
        <f t="shared" si="249"/>
        <v>271808</v>
      </c>
      <c r="AH656" s="697">
        <f t="shared" si="240"/>
        <v>302.00888888888886</v>
      </c>
      <c r="AI656" s="679"/>
      <c r="AJ656" s="678"/>
      <c r="AK656" s="694">
        <f t="shared" si="250"/>
        <v>0</v>
      </c>
      <c r="AL656" s="698">
        <f t="shared" si="251"/>
        <v>0</v>
      </c>
      <c r="AM656" s="679"/>
      <c r="AN656" s="678"/>
      <c r="AO656" s="679"/>
      <c r="AP656" s="678"/>
      <c r="AQ656" s="679"/>
      <c r="AR656" s="678"/>
      <c r="AS656" s="679"/>
      <c r="AT656" s="678"/>
      <c r="AU656" s="699">
        <f t="shared" si="241"/>
        <v>0</v>
      </c>
      <c r="AV656" s="695">
        <f t="shared" si="254"/>
        <v>0</v>
      </c>
      <c r="AW656" s="696">
        <f t="shared" si="242"/>
        <v>0</v>
      </c>
      <c r="AX656" s="697">
        <f t="shared" si="243"/>
        <v>0</v>
      </c>
      <c r="AY656" s="700">
        <f t="shared" si="252"/>
        <v>1532.0577777777778</v>
      </c>
      <c r="AZ656" s="697">
        <f t="shared" si="253"/>
        <v>1825.8088888888888</v>
      </c>
      <c r="BA656" s="680"/>
    </row>
    <row r="657" spans="1:53">
      <c r="A657" s="154" t="s">
        <v>279</v>
      </c>
      <c r="B657" s="557" t="s">
        <v>370</v>
      </c>
      <c r="C657" s="558"/>
      <c r="D657" s="559" t="s">
        <v>861</v>
      </c>
      <c r="E657" s="560" t="s">
        <v>393</v>
      </c>
      <c r="F657" s="550" t="s">
        <v>393</v>
      </c>
      <c r="G657" s="717">
        <f>+G607+G608+G610+G613</f>
        <v>420371</v>
      </c>
      <c r="H657" s="678">
        <f t="shared" ref="H657:T657" si="256">+H607+H608+H610+H613</f>
        <v>450683</v>
      </c>
      <c r="I657" s="717">
        <f t="shared" si="256"/>
        <v>113775</v>
      </c>
      <c r="J657" s="678">
        <f t="shared" si="256"/>
        <v>128909</v>
      </c>
      <c r="K657" s="717">
        <f t="shared" si="256"/>
        <v>32653</v>
      </c>
      <c r="L657" s="678">
        <f t="shared" si="256"/>
        <v>36948</v>
      </c>
      <c r="M657" s="717">
        <f t="shared" si="256"/>
        <v>433344</v>
      </c>
      <c r="N657" s="678">
        <f t="shared" si="256"/>
        <v>484687</v>
      </c>
      <c r="O657" s="718">
        <f t="shared" si="244"/>
        <v>1000143</v>
      </c>
      <c r="P657" s="719">
        <f t="shared" si="255"/>
        <v>33338.1</v>
      </c>
      <c r="Q657" s="720">
        <f t="shared" si="245"/>
        <v>1101227</v>
      </c>
      <c r="R657" s="721">
        <f t="shared" si="238"/>
        <v>36707.566666666666</v>
      </c>
      <c r="S657" s="717">
        <f t="shared" si="256"/>
        <v>59184</v>
      </c>
      <c r="T657" s="678">
        <f t="shared" si="256"/>
        <v>70008</v>
      </c>
      <c r="U657" s="694">
        <f t="shared" si="246"/>
        <v>1000143</v>
      </c>
      <c r="V657" s="698">
        <f t="shared" si="247"/>
        <v>1101227</v>
      </c>
      <c r="W657" s="717">
        <f t="shared" ref="W657:AD657" si="257">+W607+W608+W610+W613</f>
        <v>206008</v>
      </c>
      <c r="X657" s="678">
        <f t="shared" si="257"/>
        <v>219760</v>
      </c>
      <c r="Y657" s="717">
        <f t="shared" si="257"/>
        <v>147099</v>
      </c>
      <c r="Z657" s="678">
        <f t="shared" si="257"/>
        <v>145394</v>
      </c>
      <c r="AA657" s="717">
        <f t="shared" si="257"/>
        <v>193408</v>
      </c>
      <c r="AB657" s="678">
        <f t="shared" si="257"/>
        <v>197326</v>
      </c>
      <c r="AC657" s="717">
        <f t="shared" si="257"/>
        <v>297098</v>
      </c>
      <c r="AD657" s="678">
        <f t="shared" si="257"/>
        <v>234170</v>
      </c>
      <c r="AE657" s="718">
        <f t="shared" si="248"/>
        <v>843613</v>
      </c>
      <c r="AF657" s="719">
        <f t="shared" si="239"/>
        <v>937.34777777777776</v>
      </c>
      <c r="AG657" s="720">
        <f t="shared" si="249"/>
        <v>796650</v>
      </c>
      <c r="AH657" s="721">
        <f t="shared" si="240"/>
        <v>885.16666666666663</v>
      </c>
      <c r="AI657" s="726"/>
      <c r="AJ657" s="715"/>
      <c r="AK657" s="694">
        <f t="shared" si="250"/>
        <v>0</v>
      </c>
      <c r="AL657" s="698">
        <f t="shared" si="251"/>
        <v>0</v>
      </c>
      <c r="AM657" s="717"/>
      <c r="AN657" s="678"/>
      <c r="AO657" s="717"/>
      <c r="AP657" s="678"/>
      <c r="AQ657" s="717"/>
      <c r="AR657" s="678"/>
      <c r="AS657" s="717"/>
      <c r="AT657" s="678"/>
      <c r="AU657" s="722">
        <f t="shared" si="241"/>
        <v>0</v>
      </c>
      <c r="AV657" s="719">
        <f t="shared" si="254"/>
        <v>0</v>
      </c>
      <c r="AW657" s="720">
        <f t="shared" si="242"/>
        <v>0</v>
      </c>
      <c r="AX657" s="721">
        <f t="shared" si="243"/>
        <v>0</v>
      </c>
      <c r="AY657" s="723">
        <f t="shared" si="252"/>
        <v>34275.447777777779</v>
      </c>
      <c r="AZ657" s="721">
        <f t="shared" si="253"/>
        <v>37592.73333333333</v>
      </c>
      <c r="BA657" s="680"/>
    </row>
    <row r="658" spans="1:53">
      <c r="A658" s="154" t="s">
        <v>279</v>
      </c>
      <c r="B658" s="561" t="s">
        <v>371</v>
      </c>
      <c r="C658" s="558"/>
      <c r="D658" s="559" t="s">
        <v>861</v>
      </c>
      <c r="E658" s="560" t="s">
        <v>393</v>
      </c>
      <c r="F658" s="550" t="s">
        <v>393</v>
      </c>
      <c r="G658" s="717">
        <f>+G595+G599+G606+G609</f>
        <v>329693</v>
      </c>
      <c r="H658" s="678">
        <f t="shared" ref="H658:T658" si="258">+H595+H599+H606+H609</f>
        <v>370872</v>
      </c>
      <c r="I658" s="717">
        <f t="shared" si="258"/>
        <v>124144</v>
      </c>
      <c r="J658" s="678">
        <f t="shared" si="258"/>
        <v>101181</v>
      </c>
      <c r="K658" s="717">
        <f t="shared" si="258"/>
        <v>61311</v>
      </c>
      <c r="L658" s="678">
        <f t="shared" si="258"/>
        <v>91987</v>
      </c>
      <c r="M658" s="717">
        <f t="shared" si="258"/>
        <v>316483</v>
      </c>
      <c r="N658" s="678">
        <f t="shared" si="258"/>
        <v>344609</v>
      </c>
      <c r="O658" s="718">
        <f t="shared" si="244"/>
        <v>831631</v>
      </c>
      <c r="P658" s="719">
        <f t="shared" si="255"/>
        <v>27721.033333333333</v>
      </c>
      <c r="Q658" s="720">
        <f t="shared" si="245"/>
        <v>908649</v>
      </c>
      <c r="R658" s="721">
        <f t="shared" si="238"/>
        <v>30288.3</v>
      </c>
      <c r="S658" s="717">
        <f t="shared" si="258"/>
        <v>48160</v>
      </c>
      <c r="T658" s="678">
        <f t="shared" si="258"/>
        <v>57534</v>
      </c>
      <c r="U658" s="694">
        <f t="shared" si="246"/>
        <v>831631</v>
      </c>
      <c r="V658" s="698">
        <f t="shared" si="247"/>
        <v>908649</v>
      </c>
      <c r="W658" s="717">
        <f t="shared" ref="W658:AD658" si="259">+W595+W599+W606+W609</f>
        <v>400320</v>
      </c>
      <c r="X658" s="678">
        <f t="shared" si="259"/>
        <v>425253</v>
      </c>
      <c r="Y658" s="717">
        <f t="shared" si="259"/>
        <v>390592</v>
      </c>
      <c r="Z658" s="678">
        <f t="shared" si="259"/>
        <v>382833</v>
      </c>
      <c r="AA658" s="717">
        <f t="shared" si="259"/>
        <v>388149</v>
      </c>
      <c r="AB658" s="678">
        <f t="shared" si="259"/>
        <v>417726</v>
      </c>
      <c r="AC658" s="717">
        <f t="shared" si="259"/>
        <v>560720</v>
      </c>
      <c r="AD658" s="678">
        <f t="shared" si="259"/>
        <v>542184</v>
      </c>
      <c r="AE658" s="718">
        <f t="shared" si="248"/>
        <v>1739781</v>
      </c>
      <c r="AF658" s="719">
        <f t="shared" si="239"/>
        <v>1933.09</v>
      </c>
      <c r="AG658" s="720">
        <f t="shared" si="249"/>
        <v>1767996</v>
      </c>
      <c r="AH658" s="721">
        <f t="shared" si="240"/>
        <v>1964.44</v>
      </c>
      <c r="AI658" s="726"/>
      <c r="AJ658" s="715"/>
      <c r="AK658" s="694">
        <f t="shared" si="250"/>
        <v>0</v>
      </c>
      <c r="AL658" s="698">
        <f t="shared" si="251"/>
        <v>0</v>
      </c>
      <c r="AM658" s="717"/>
      <c r="AN658" s="678"/>
      <c r="AO658" s="717"/>
      <c r="AP658" s="678"/>
      <c r="AQ658" s="717"/>
      <c r="AR658" s="678"/>
      <c r="AS658" s="717"/>
      <c r="AT658" s="678"/>
      <c r="AU658" s="722">
        <f t="shared" si="241"/>
        <v>0</v>
      </c>
      <c r="AV658" s="719">
        <f t="shared" si="254"/>
        <v>0</v>
      </c>
      <c r="AW658" s="720">
        <f t="shared" si="242"/>
        <v>0</v>
      </c>
      <c r="AX658" s="721">
        <f t="shared" si="243"/>
        <v>0</v>
      </c>
      <c r="AY658" s="723">
        <f t="shared" si="252"/>
        <v>29654.123333333333</v>
      </c>
      <c r="AZ658" s="721">
        <f t="shared" si="253"/>
        <v>32252.739999999998</v>
      </c>
      <c r="BA658" s="680"/>
    </row>
    <row r="659" spans="1:53">
      <c r="A659" s="154" t="s">
        <v>279</v>
      </c>
      <c r="B659" s="561" t="s">
        <v>371</v>
      </c>
      <c r="C659" s="558"/>
      <c r="D659" s="559" t="s">
        <v>862</v>
      </c>
      <c r="E659" s="560" t="s">
        <v>393</v>
      </c>
      <c r="F659" s="550" t="s">
        <v>393</v>
      </c>
      <c r="G659" s="717">
        <f>+G619+G623+G630</f>
        <v>131588</v>
      </c>
      <c r="H659" s="678">
        <f t="shared" ref="H659:T659" si="260">+H619+H623+H630</f>
        <v>156032</v>
      </c>
      <c r="I659" s="717">
        <f t="shared" si="260"/>
        <v>44686</v>
      </c>
      <c r="J659" s="678">
        <f t="shared" si="260"/>
        <v>44160</v>
      </c>
      <c r="K659" s="717">
        <f t="shared" si="260"/>
        <v>21657</v>
      </c>
      <c r="L659" s="678">
        <f t="shared" si="260"/>
        <v>24520</v>
      </c>
      <c r="M659" s="717">
        <f t="shared" si="260"/>
        <v>135438</v>
      </c>
      <c r="N659" s="678">
        <f t="shared" si="260"/>
        <v>156448</v>
      </c>
      <c r="O659" s="718">
        <f t="shared" si="244"/>
        <v>333369</v>
      </c>
      <c r="P659" s="719">
        <f t="shared" si="255"/>
        <v>11112.3</v>
      </c>
      <c r="Q659" s="720">
        <f t="shared" si="245"/>
        <v>381160</v>
      </c>
      <c r="R659" s="721">
        <f t="shared" si="238"/>
        <v>12705.333333333334</v>
      </c>
      <c r="S659" s="717">
        <f t="shared" si="260"/>
        <v>18261</v>
      </c>
      <c r="T659" s="678">
        <f t="shared" si="260"/>
        <v>27262</v>
      </c>
      <c r="U659" s="694">
        <f t="shared" si="246"/>
        <v>333369</v>
      </c>
      <c r="V659" s="698">
        <f t="shared" si="247"/>
        <v>381160</v>
      </c>
      <c r="W659" s="717">
        <f t="shared" ref="W659:AD659" si="261">+W619+W623+W630</f>
        <v>295730</v>
      </c>
      <c r="X659" s="678">
        <f t="shared" si="261"/>
        <v>421242</v>
      </c>
      <c r="Y659" s="717">
        <f t="shared" si="261"/>
        <v>391747</v>
      </c>
      <c r="Z659" s="678">
        <f t="shared" si="261"/>
        <v>543772</v>
      </c>
      <c r="AA659" s="717">
        <f t="shared" si="261"/>
        <v>427626</v>
      </c>
      <c r="AB659" s="678">
        <f t="shared" si="261"/>
        <v>472009</v>
      </c>
      <c r="AC659" s="717">
        <f t="shared" si="261"/>
        <v>505346</v>
      </c>
      <c r="AD659" s="678">
        <f t="shared" si="261"/>
        <v>600098</v>
      </c>
      <c r="AE659" s="718">
        <f t="shared" si="248"/>
        <v>1620449</v>
      </c>
      <c r="AF659" s="719">
        <f t="shared" si="239"/>
        <v>1800.4988888888888</v>
      </c>
      <c r="AG659" s="720">
        <f t="shared" si="249"/>
        <v>2037121</v>
      </c>
      <c r="AH659" s="721">
        <f t="shared" si="240"/>
        <v>2263.4677777777779</v>
      </c>
      <c r="AI659" s="726"/>
      <c r="AJ659" s="715"/>
      <c r="AK659" s="694">
        <f t="shared" si="250"/>
        <v>0</v>
      </c>
      <c r="AL659" s="698">
        <f t="shared" si="251"/>
        <v>0</v>
      </c>
      <c r="AM659" s="717"/>
      <c r="AN659" s="678"/>
      <c r="AO659" s="717"/>
      <c r="AP659" s="678"/>
      <c r="AQ659" s="717"/>
      <c r="AR659" s="678"/>
      <c r="AS659" s="717"/>
      <c r="AT659" s="678"/>
      <c r="AU659" s="722">
        <f t="shared" si="241"/>
        <v>0</v>
      </c>
      <c r="AV659" s="719">
        <f t="shared" si="254"/>
        <v>0</v>
      </c>
      <c r="AW659" s="720">
        <f t="shared" si="242"/>
        <v>0</v>
      </c>
      <c r="AX659" s="721">
        <f t="shared" si="243"/>
        <v>0</v>
      </c>
      <c r="AY659" s="723">
        <f t="shared" si="252"/>
        <v>12912.798888888889</v>
      </c>
      <c r="AZ659" s="721">
        <f t="shared" si="253"/>
        <v>14968.801111111112</v>
      </c>
      <c r="BA659" s="680"/>
    </row>
    <row r="660" spans="1:53">
      <c r="A660" s="154" t="s">
        <v>279</v>
      </c>
      <c r="B660" s="562" t="s">
        <v>372</v>
      </c>
      <c r="C660" s="558"/>
      <c r="D660" s="559" t="s">
        <v>862</v>
      </c>
      <c r="E660" s="560" t="s">
        <v>393</v>
      </c>
      <c r="F660" s="550" t="s">
        <v>393</v>
      </c>
      <c r="G660" s="717">
        <f>+G626</f>
        <v>26299</v>
      </c>
      <c r="H660" s="678">
        <f t="shared" ref="H660:T660" si="262">+H626</f>
        <v>29219</v>
      </c>
      <c r="I660" s="717">
        <f t="shared" si="262"/>
        <v>4842</v>
      </c>
      <c r="J660" s="678">
        <f t="shared" si="262"/>
        <v>5143</v>
      </c>
      <c r="K660" s="717">
        <f t="shared" si="262"/>
        <v>2238</v>
      </c>
      <c r="L660" s="678">
        <f t="shared" si="262"/>
        <v>2216</v>
      </c>
      <c r="M660" s="717">
        <f t="shared" si="262"/>
        <v>28526</v>
      </c>
      <c r="N660" s="678">
        <f t="shared" si="262"/>
        <v>34176</v>
      </c>
      <c r="O660" s="718">
        <f t="shared" si="244"/>
        <v>61905</v>
      </c>
      <c r="P660" s="719">
        <f t="shared" si="255"/>
        <v>2063.5</v>
      </c>
      <c r="Q660" s="720">
        <f t="shared" si="245"/>
        <v>70754</v>
      </c>
      <c r="R660" s="721">
        <f t="shared" si="238"/>
        <v>2358.4666666666667</v>
      </c>
      <c r="S660" s="717">
        <f t="shared" si="262"/>
        <v>11052</v>
      </c>
      <c r="T660" s="678">
        <f t="shared" si="262"/>
        <v>13550</v>
      </c>
      <c r="U660" s="694">
        <f t="shared" si="246"/>
        <v>61905</v>
      </c>
      <c r="V660" s="698">
        <f t="shared" si="247"/>
        <v>70754</v>
      </c>
      <c r="W660" s="717">
        <f t="shared" ref="W660:AD660" si="263">+W626</f>
        <v>215791</v>
      </c>
      <c r="X660" s="678">
        <f t="shared" si="263"/>
        <v>235084</v>
      </c>
      <c r="Y660" s="717">
        <f t="shared" si="263"/>
        <v>255640</v>
      </c>
      <c r="Z660" s="678">
        <f t="shared" si="263"/>
        <v>203040</v>
      </c>
      <c r="AA660" s="717">
        <f t="shared" si="263"/>
        <v>244486</v>
      </c>
      <c r="AB660" s="678">
        <f t="shared" si="263"/>
        <v>201376</v>
      </c>
      <c r="AC660" s="717">
        <f t="shared" si="263"/>
        <v>249635</v>
      </c>
      <c r="AD660" s="678">
        <f t="shared" si="263"/>
        <v>245653</v>
      </c>
      <c r="AE660" s="718">
        <f t="shared" si="248"/>
        <v>965552</v>
      </c>
      <c r="AF660" s="719">
        <f t="shared" si="239"/>
        <v>1072.8355555555556</v>
      </c>
      <c r="AG660" s="720">
        <f t="shared" si="249"/>
        <v>885153</v>
      </c>
      <c r="AH660" s="721">
        <f t="shared" si="240"/>
        <v>983.50333333333333</v>
      </c>
      <c r="AI660" s="726"/>
      <c r="AJ660" s="715"/>
      <c r="AK660" s="694">
        <f t="shared" si="250"/>
        <v>0</v>
      </c>
      <c r="AL660" s="698">
        <f t="shared" si="251"/>
        <v>0</v>
      </c>
      <c r="AM660" s="717"/>
      <c r="AN660" s="678"/>
      <c r="AO660" s="717"/>
      <c r="AP660" s="678"/>
      <c r="AQ660" s="717"/>
      <c r="AR660" s="678"/>
      <c r="AS660" s="717"/>
      <c r="AT660" s="678"/>
      <c r="AU660" s="722">
        <f t="shared" si="241"/>
        <v>0</v>
      </c>
      <c r="AV660" s="719">
        <f t="shared" si="254"/>
        <v>0</v>
      </c>
      <c r="AW660" s="720">
        <f t="shared" si="242"/>
        <v>0</v>
      </c>
      <c r="AX660" s="721">
        <f t="shared" si="243"/>
        <v>0</v>
      </c>
      <c r="AY660" s="723">
        <f t="shared" si="252"/>
        <v>3136.3355555555554</v>
      </c>
      <c r="AZ660" s="721">
        <f t="shared" si="253"/>
        <v>3341.9700000000003</v>
      </c>
      <c r="BA660" s="680"/>
    </row>
    <row r="661" spans="1:53">
      <c r="A661" s="154" t="s">
        <v>279</v>
      </c>
      <c r="B661" s="557" t="s">
        <v>370</v>
      </c>
      <c r="C661" s="558"/>
      <c r="D661" s="559" t="s">
        <v>726</v>
      </c>
      <c r="E661" s="560" t="s">
        <v>393</v>
      </c>
      <c r="F661" s="550" t="s">
        <v>393</v>
      </c>
      <c r="G661" s="717">
        <f>+G649</f>
        <v>1527</v>
      </c>
      <c r="H661" s="678">
        <f t="shared" ref="H661:T661" si="264">+H649</f>
        <v>3968</v>
      </c>
      <c r="I661" s="717">
        <f t="shared" si="264"/>
        <v>763</v>
      </c>
      <c r="J661" s="678">
        <f t="shared" si="264"/>
        <v>696</v>
      </c>
      <c r="K661" s="717">
        <f t="shared" si="264"/>
        <v>689</v>
      </c>
      <c r="L661" s="678">
        <f t="shared" si="264"/>
        <v>402</v>
      </c>
      <c r="M661" s="717">
        <f t="shared" si="264"/>
        <v>3836</v>
      </c>
      <c r="N661" s="678">
        <f t="shared" si="264"/>
        <v>5095</v>
      </c>
      <c r="O661" s="718">
        <f t="shared" si="244"/>
        <v>6815</v>
      </c>
      <c r="P661" s="719">
        <f t="shared" si="255"/>
        <v>227.16666666666666</v>
      </c>
      <c r="Q661" s="720">
        <f t="shared" si="245"/>
        <v>10161</v>
      </c>
      <c r="R661" s="721">
        <f t="shared" si="238"/>
        <v>338.7</v>
      </c>
      <c r="S661" s="717">
        <f t="shared" si="264"/>
        <v>13</v>
      </c>
      <c r="T661" s="678">
        <f t="shared" si="264"/>
        <v>3</v>
      </c>
      <c r="U661" s="694">
        <f t="shared" si="246"/>
        <v>6815</v>
      </c>
      <c r="V661" s="698">
        <f t="shared" si="247"/>
        <v>10161</v>
      </c>
      <c r="W661" s="717">
        <f t="shared" ref="W661:AD661" si="265">+W649</f>
        <v>0</v>
      </c>
      <c r="X661" s="678">
        <f t="shared" si="265"/>
        <v>0</v>
      </c>
      <c r="Y661" s="717">
        <f t="shared" si="265"/>
        <v>0</v>
      </c>
      <c r="Z661" s="678">
        <f t="shared" si="265"/>
        <v>3056</v>
      </c>
      <c r="AA661" s="717">
        <f t="shared" si="265"/>
        <v>0</v>
      </c>
      <c r="AB661" s="678">
        <f t="shared" si="265"/>
        <v>2776</v>
      </c>
      <c r="AC661" s="717">
        <f t="shared" si="265"/>
        <v>0</v>
      </c>
      <c r="AD661" s="678">
        <f t="shared" si="265"/>
        <v>3216</v>
      </c>
      <c r="AE661" s="718">
        <f t="shared" si="248"/>
        <v>0</v>
      </c>
      <c r="AF661" s="719">
        <f t="shared" si="239"/>
        <v>0</v>
      </c>
      <c r="AG661" s="720">
        <f t="shared" si="249"/>
        <v>9048</v>
      </c>
      <c r="AH661" s="721">
        <f t="shared" si="240"/>
        <v>10.053333333333333</v>
      </c>
      <c r="AI661" s="726"/>
      <c r="AJ661" s="715"/>
      <c r="AK661" s="694">
        <f t="shared" si="250"/>
        <v>0</v>
      </c>
      <c r="AL661" s="698">
        <f t="shared" si="251"/>
        <v>0</v>
      </c>
      <c r="AM661" s="717"/>
      <c r="AN661" s="678"/>
      <c r="AO661" s="717"/>
      <c r="AP661" s="678"/>
      <c r="AQ661" s="717"/>
      <c r="AR661" s="678"/>
      <c r="AS661" s="717"/>
      <c r="AT661" s="678"/>
      <c r="AU661" s="722">
        <f t="shared" si="241"/>
        <v>0</v>
      </c>
      <c r="AV661" s="719">
        <f t="shared" si="254"/>
        <v>0</v>
      </c>
      <c r="AW661" s="720">
        <f t="shared" si="242"/>
        <v>0</v>
      </c>
      <c r="AX661" s="721">
        <f t="shared" si="243"/>
        <v>0</v>
      </c>
      <c r="AY661" s="723">
        <f t="shared" si="252"/>
        <v>227.16666666666666</v>
      </c>
      <c r="AZ661" s="721">
        <f t="shared" si="253"/>
        <v>348.75333333333333</v>
      </c>
      <c r="BA661" s="680"/>
    </row>
    <row r="662" spans="1:53">
      <c r="A662" s="154" t="s">
        <v>279</v>
      </c>
      <c r="B662" s="562" t="s">
        <v>372</v>
      </c>
      <c r="C662" s="558"/>
      <c r="D662" s="563" t="s">
        <v>726</v>
      </c>
      <c r="E662" s="560" t="s">
        <v>393</v>
      </c>
      <c r="F662" s="550" t="s">
        <v>393</v>
      </c>
      <c r="G662" s="717">
        <f>+G653</f>
        <v>1011</v>
      </c>
      <c r="H662" s="678">
        <f t="shared" ref="H662:T662" si="266">+H653</f>
        <v>1127</v>
      </c>
      <c r="I662" s="717">
        <f>+I653</f>
        <v>0</v>
      </c>
      <c r="J662" s="678">
        <f t="shared" si="266"/>
        <v>0</v>
      </c>
      <c r="K662" s="717">
        <f t="shared" si="266"/>
        <v>0</v>
      </c>
      <c r="L662" s="678">
        <f t="shared" si="266"/>
        <v>0</v>
      </c>
      <c r="M662" s="717">
        <f t="shared" si="266"/>
        <v>1072</v>
      </c>
      <c r="N662" s="678">
        <f t="shared" si="266"/>
        <v>1014</v>
      </c>
      <c r="O662" s="718">
        <f t="shared" si="244"/>
        <v>2083</v>
      </c>
      <c r="P662" s="719">
        <f t="shared" si="255"/>
        <v>69.433333333333337</v>
      </c>
      <c r="Q662" s="720">
        <f t="shared" si="245"/>
        <v>2141</v>
      </c>
      <c r="R662" s="721">
        <f t="shared" si="238"/>
        <v>71.36666666666666</v>
      </c>
      <c r="S662" s="717">
        <f t="shared" si="266"/>
        <v>0</v>
      </c>
      <c r="T662" s="678">
        <f t="shared" si="266"/>
        <v>0</v>
      </c>
      <c r="U662" s="694">
        <f t="shared" si="246"/>
        <v>2083</v>
      </c>
      <c r="V662" s="698">
        <f t="shared" si="247"/>
        <v>2141</v>
      </c>
      <c r="W662" s="717">
        <f t="shared" ref="W662:AD662" si="267">+W653</f>
        <v>0</v>
      </c>
      <c r="X662" s="678">
        <f t="shared" si="267"/>
        <v>0</v>
      </c>
      <c r="Y662" s="717">
        <f t="shared" si="267"/>
        <v>0</v>
      </c>
      <c r="Z662" s="678">
        <f t="shared" si="267"/>
        <v>0</v>
      </c>
      <c r="AA662" s="717">
        <f t="shared" si="267"/>
        <v>0</v>
      </c>
      <c r="AB662" s="678">
        <f t="shared" si="267"/>
        <v>0</v>
      </c>
      <c r="AC662" s="717">
        <f t="shared" si="267"/>
        <v>0</v>
      </c>
      <c r="AD662" s="678">
        <f t="shared" si="267"/>
        <v>0</v>
      </c>
      <c r="AE662" s="718">
        <f t="shared" si="248"/>
        <v>0</v>
      </c>
      <c r="AF662" s="719">
        <f t="shared" si="239"/>
        <v>0</v>
      </c>
      <c r="AG662" s="720">
        <f t="shared" si="249"/>
        <v>0</v>
      </c>
      <c r="AH662" s="721">
        <f t="shared" si="240"/>
        <v>0</v>
      </c>
      <c r="AI662" s="726"/>
      <c r="AJ662" s="715"/>
      <c r="AK662" s="694">
        <f t="shared" si="250"/>
        <v>0</v>
      </c>
      <c r="AL662" s="698">
        <f t="shared" si="251"/>
        <v>0</v>
      </c>
      <c r="AM662" s="717"/>
      <c r="AN662" s="678"/>
      <c r="AO662" s="717"/>
      <c r="AP662" s="678"/>
      <c r="AQ662" s="717"/>
      <c r="AR662" s="678"/>
      <c r="AS662" s="717"/>
      <c r="AT662" s="678"/>
      <c r="AU662" s="722">
        <f t="shared" si="241"/>
        <v>0</v>
      </c>
      <c r="AV662" s="719">
        <f t="shared" si="254"/>
        <v>0</v>
      </c>
      <c r="AW662" s="720">
        <f t="shared" si="242"/>
        <v>0</v>
      </c>
      <c r="AX662" s="721">
        <f t="shared" si="243"/>
        <v>0</v>
      </c>
      <c r="AY662" s="723">
        <f t="shared" si="252"/>
        <v>69.433333333333337</v>
      </c>
      <c r="AZ662" s="721">
        <f t="shared" si="253"/>
        <v>71.36666666666666</v>
      </c>
      <c r="BA662" s="680"/>
    </row>
    <row r="663" spans="1:53">
      <c r="A663" s="154" t="s">
        <v>279</v>
      </c>
      <c r="B663" s="557" t="s">
        <v>370</v>
      </c>
      <c r="C663" s="558"/>
      <c r="D663" s="563" t="s">
        <v>604</v>
      </c>
      <c r="E663" s="560" t="s">
        <v>393</v>
      </c>
      <c r="F663" s="550" t="s">
        <v>393</v>
      </c>
      <c r="G663" s="717">
        <f>+G661+G657</f>
        <v>421898</v>
      </c>
      <c r="H663" s="678">
        <f t="shared" ref="H663:T663" si="268">+H661+H657</f>
        <v>454651</v>
      </c>
      <c r="I663" s="717">
        <f t="shared" si="268"/>
        <v>114538</v>
      </c>
      <c r="J663" s="678">
        <f t="shared" si="268"/>
        <v>129605</v>
      </c>
      <c r="K663" s="717">
        <f t="shared" si="268"/>
        <v>33342</v>
      </c>
      <c r="L663" s="678">
        <f t="shared" si="268"/>
        <v>37350</v>
      </c>
      <c r="M663" s="717">
        <f t="shared" si="268"/>
        <v>437180</v>
      </c>
      <c r="N663" s="678">
        <f t="shared" si="268"/>
        <v>489782</v>
      </c>
      <c r="O663" s="718">
        <f t="shared" si="244"/>
        <v>1006958</v>
      </c>
      <c r="P663" s="719">
        <f t="shared" si="255"/>
        <v>33565.26666666667</v>
      </c>
      <c r="Q663" s="720">
        <f t="shared" si="245"/>
        <v>1111388</v>
      </c>
      <c r="R663" s="721">
        <f t="shared" si="238"/>
        <v>37046.26666666667</v>
      </c>
      <c r="S663" s="717">
        <f t="shared" si="268"/>
        <v>59197</v>
      </c>
      <c r="T663" s="678">
        <f t="shared" si="268"/>
        <v>70011</v>
      </c>
      <c r="U663" s="694">
        <f t="shared" si="246"/>
        <v>1006958</v>
      </c>
      <c r="V663" s="698">
        <f t="shared" si="247"/>
        <v>1111388</v>
      </c>
      <c r="W663" s="717">
        <f t="shared" ref="W663:AD663" si="269">+W661+W657</f>
        <v>206008</v>
      </c>
      <c r="X663" s="678">
        <f t="shared" si="269"/>
        <v>219760</v>
      </c>
      <c r="Y663" s="717">
        <f t="shared" si="269"/>
        <v>147099</v>
      </c>
      <c r="Z663" s="678">
        <f t="shared" si="269"/>
        <v>148450</v>
      </c>
      <c r="AA663" s="717">
        <f t="shared" si="269"/>
        <v>193408</v>
      </c>
      <c r="AB663" s="678">
        <f t="shared" si="269"/>
        <v>200102</v>
      </c>
      <c r="AC663" s="717">
        <f t="shared" si="269"/>
        <v>297098</v>
      </c>
      <c r="AD663" s="678">
        <f t="shared" si="269"/>
        <v>237386</v>
      </c>
      <c r="AE663" s="718">
        <f t="shared" si="248"/>
        <v>843613</v>
      </c>
      <c r="AF663" s="719">
        <f t="shared" si="239"/>
        <v>937.34777777777776</v>
      </c>
      <c r="AG663" s="720">
        <f t="shared" si="249"/>
        <v>805698</v>
      </c>
      <c r="AH663" s="721">
        <f t="shared" si="240"/>
        <v>895.22</v>
      </c>
      <c r="AI663" s="726"/>
      <c r="AJ663" s="715"/>
      <c r="AK663" s="694">
        <f t="shared" si="250"/>
        <v>0</v>
      </c>
      <c r="AL663" s="698">
        <f t="shared" si="251"/>
        <v>0</v>
      </c>
      <c r="AM663" s="717"/>
      <c r="AN663" s="678"/>
      <c r="AO663" s="717"/>
      <c r="AP663" s="678"/>
      <c r="AQ663" s="717"/>
      <c r="AR663" s="678"/>
      <c r="AS663" s="717"/>
      <c r="AT663" s="678"/>
      <c r="AU663" s="722">
        <f t="shared" si="241"/>
        <v>0</v>
      </c>
      <c r="AV663" s="719">
        <f t="shared" si="254"/>
        <v>0</v>
      </c>
      <c r="AW663" s="720">
        <f t="shared" si="242"/>
        <v>0</v>
      </c>
      <c r="AX663" s="721">
        <f t="shared" si="243"/>
        <v>0</v>
      </c>
      <c r="AY663" s="723">
        <f t="shared" si="252"/>
        <v>34502.614444444451</v>
      </c>
      <c r="AZ663" s="721">
        <f t="shared" si="253"/>
        <v>37941.486666666671</v>
      </c>
      <c r="BA663" s="680"/>
    </row>
    <row r="664" spans="1:53">
      <c r="A664" s="154" t="s">
        <v>279</v>
      </c>
      <c r="B664" s="561" t="s">
        <v>371</v>
      </c>
      <c r="C664" s="558"/>
      <c r="D664" s="563" t="s">
        <v>604</v>
      </c>
      <c r="E664" s="560" t="s">
        <v>393</v>
      </c>
      <c r="F664" s="550" t="s">
        <v>393</v>
      </c>
      <c r="G664" s="717">
        <f>+G659+G658</f>
        <v>461281</v>
      </c>
      <c r="H664" s="678">
        <f t="shared" ref="H664:T664" si="270">+H659+H658</f>
        <v>526904</v>
      </c>
      <c r="I664" s="717">
        <f t="shared" si="270"/>
        <v>168830</v>
      </c>
      <c r="J664" s="678">
        <f t="shared" si="270"/>
        <v>145341</v>
      </c>
      <c r="K664" s="717">
        <f t="shared" si="270"/>
        <v>82968</v>
      </c>
      <c r="L664" s="678">
        <f t="shared" si="270"/>
        <v>116507</v>
      </c>
      <c r="M664" s="717">
        <f t="shared" si="270"/>
        <v>451921</v>
      </c>
      <c r="N664" s="678">
        <f t="shared" si="270"/>
        <v>501057</v>
      </c>
      <c r="O664" s="718">
        <f t="shared" si="244"/>
        <v>1165000</v>
      </c>
      <c r="P664" s="719">
        <f t="shared" si="255"/>
        <v>38833.333333333336</v>
      </c>
      <c r="Q664" s="720">
        <f t="shared" si="245"/>
        <v>1289809</v>
      </c>
      <c r="R664" s="721">
        <f t="shared" si="238"/>
        <v>42993.633333333331</v>
      </c>
      <c r="S664" s="717">
        <f t="shared" si="270"/>
        <v>66421</v>
      </c>
      <c r="T664" s="678">
        <f t="shared" si="270"/>
        <v>84796</v>
      </c>
      <c r="U664" s="694">
        <f t="shared" si="246"/>
        <v>1165000</v>
      </c>
      <c r="V664" s="698">
        <f t="shared" si="247"/>
        <v>1289809</v>
      </c>
      <c r="W664" s="717">
        <f t="shared" ref="W664:AD664" si="271">+W659+W658</f>
        <v>696050</v>
      </c>
      <c r="X664" s="678">
        <f t="shared" si="271"/>
        <v>846495</v>
      </c>
      <c r="Y664" s="717">
        <f t="shared" si="271"/>
        <v>782339</v>
      </c>
      <c r="Z664" s="678">
        <f t="shared" si="271"/>
        <v>926605</v>
      </c>
      <c r="AA664" s="717">
        <f t="shared" si="271"/>
        <v>815775</v>
      </c>
      <c r="AB664" s="678">
        <f t="shared" si="271"/>
        <v>889735</v>
      </c>
      <c r="AC664" s="717">
        <f t="shared" si="271"/>
        <v>1066066</v>
      </c>
      <c r="AD664" s="678">
        <f t="shared" si="271"/>
        <v>1142282</v>
      </c>
      <c r="AE664" s="718">
        <f t="shared" si="248"/>
        <v>3360230</v>
      </c>
      <c r="AF664" s="719">
        <f t="shared" si="239"/>
        <v>3733.588888888889</v>
      </c>
      <c r="AG664" s="720">
        <f t="shared" si="249"/>
        <v>3805117</v>
      </c>
      <c r="AH664" s="721">
        <f t="shared" si="240"/>
        <v>4227.9077777777775</v>
      </c>
      <c r="AI664" s="726"/>
      <c r="AJ664" s="715"/>
      <c r="AK664" s="694">
        <f t="shared" si="250"/>
        <v>0</v>
      </c>
      <c r="AL664" s="698">
        <f t="shared" si="251"/>
        <v>0</v>
      </c>
      <c r="AM664" s="717"/>
      <c r="AN664" s="678"/>
      <c r="AO664" s="717"/>
      <c r="AP664" s="678"/>
      <c r="AQ664" s="717"/>
      <c r="AR664" s="678"/>
      <c r="AS664" s="717"/>
      <c r="AT664" s="678"/>
      <c r="AU664" s="722">
        <f t="shared" si="241"/>
        <v>0</v>
      </c>
      <c r="AV664" s="719">
        <f t="shared" si="254"/>
        <v>0</v>
      </c>
      <c r="AW664" s="720">
        <f t="shared" si="242"/>
        <v>0</v>
      </c>
      <c r="AX664" s="721">
        <f t="shared" si="243"/>
        <v>0</v>
      </c>
      <c r="AY664" s="723">
        <f t="shared" si="252"/>
        <v>42566.922222222223</v>
      </c>
      <c r="AZ664" s="721">
        <f t="shared" si="253"/>
        <v>47221.54111111111</v>
      </c>
      <c r="BA664" s="680"/>
    </row>
    <row r="665" spans="1:53">
      <c r="A665" s="154" t="s">
        <v>279</v>
      </c>
      <c r="B665" s="562" t="s">
        <v>372</v>
      </c>
      <c r="C665" s="558"/>
      <c r="D665" s="563" t="s">
        <v>604</v>
      </c>
      <c r="E665" s="560" t="s">
        <v>393</v>
      </c>
      <c r="F665" s="550" t="s">
        <v>393</v>
      </c>
      <c r="G665" s="717">
        <f>+G662+G660</f>
        <v>27310</v>
      </c>
      <c r="H665" s="678">
        <f t="shared" ref="H665:T665" si="272">+H662+H660</f>
        <v>30346</v>
      </c>
      <c r="I665" s="717">
        <f t="shared" si="272"/>
        <v>4842</v>
      </c>
      <c r="J665" s="678">
        <f t="shared" si="272"/>
        <v>5143</v>
      </c>
      <c r="K665" s="717">
        <f t="shared" si="272"/>
        <v>2238</v>
      </c>
      <c r="L665" s="678">
        <f t="shared" si="272"/>
        <v>2216</v>
      </c>
      <c r="M665" s="717">
        <f t="shared" si="272"/>
        <v>29598</v>
      </c>
      <c r="N665" s="678">
        <f t="shared" si="272"/>
        <v>35190</v>
      </c>
      <c r="O665" s="718">
        <f t="shared" si="244"/>
        <v>63988</v>
      </c>
      <c r="P665" s="719">
        <f t="shared" si="255"/>
        <v>2132.9333333333334</v>
      </c>
      <c r="Q665" s="720">
        <f t="shared" si="245"/>
        <v>72895</v>
      </c>
      <c r="R665" s="721">
        <f t="shared" si="238"/>
        <v>2429.8333333333335</v>
      </c>
      <c r="S665" s="717">
        <f t="shared" si="272"/>
        <v>11052</v>
      </c>
      <c r="T665" s="678">
        <f t="shared" si="272"/>
        <v>13550</v>
      </c>
      <c r="U665" s="694">
        <f t="shared" si="246"/>
        <v>63988</v>
      </c>
      <c r="V665" s="698">
        <f t="shared" si="247"/>
        <v>72895</v>
      </c>
      <c r="W665" s="717">
        <f t="shared" ref="W665:AD665" si="273">+W662+W660</f>
        <v>215791</v>
      </c>
      <c r="X665" s="678">
        <f t="shared" si="273"/>
        <v>235084</v>
      </c>
      <c r="Y665" s="717">
        <f t="shared" si="273"/>
        <v>255640</v>
      </c>
      <c r="Z665" s="678">
        <f t="shared" si="273"/>
        <v>203040</v>
      </c>
      <c r="AA665" s="717">
        <f t="shared" si="273"/>
        <v>244486</v>
      </c>
      <c r="AB665" s="678">
        <f t="shared" si="273"/>
        <v>201376</v>
      </c>
      <c r="AC665" s="717">
        <f t="shared" si="273"/>
        <v>249635</v>
      </c>
      <c r="AD665" s="678">
        <f t="shared" si="273"/>
        <v>245653</v>
      </c>
      <c r="AE665" s="718">
        <f t="shared" si="248"/>
        <v>965552</v>
      </c>
      <c r="AF665" s="719">
        <f t="shared" si="239"/>
        <v>1072.8355555555556</v>
      </c>
      <c r="AG665" s="720">
        <f t="shared" si="249"/>
        <v>885153</v>
      </c>
      <c r="AH665" s="721">
        <f t="shared" si="240"/>
        <v>983.50333333333333</v>
      </c>
      <c r="AI665" s="726"/>
      <c r="AJ665" s="715"/>
      <c r="AK665" s="694">
        <f t="shared" si="250"/>
        <v>0</v>
      </c>
      <c r="AL665" s="698">
        <f t="shared" si="251"/>
        <v>0</v>
      </c>
      <c r="AM665" s="717"/>
      <c r="AN665" s="678"/>
      <c r="AO665" s="717"/>
      <c r="AP665" s="678"/>
      <c r="AQ665" s="717"/>
      <c r="AR665" s="678"/>
      <c r="AS665" s="717"/>
      <c r="AT665" s="678"/>
      <c r="AU665" s="722">
        <f t="shared" si="241"/>
        <v>0</v>
      </c>
      <c r="AV665" s="719">
        <f t="shared" si="254"/>
        <v>0</v>
      </c>
      <c r="AW665" s="720">
        <f t="shared" si="242"/>
        <v>0</v>
      </c>
      <c r="AX665" s="721">
        <f t="shared" si="243"/>
        <v>0</v>
      </c>
      <c r="AY665" s="723">
        <f t="shared" si="252"/>
        <v>3205.7688888888888</v>
      </c>
      <c r="AZ665" s="721">
        <f t="shared" si="253"/>
        <v>3413.336666666667</v>
      </c>
      <c r="BA665" s="680"/>
    </row>
    <row r="666" spans="1:53">
      <c r="A666" s="517" t="s">
        <v>279</v>
      </c>
      <c r="B666" s="290" t="s">
        <v>863</v>
      </c>
      <c r="C666" s="297" t="s">
        <v>864</v>
      </c>
      <c r="D666" s="153">
        <v>15</v>
      </c>
      <c r="E666" s="564"/>
      <c r="F666" s="565"/>
      <c r="G666" s="679"/>
      <c r="H666" s="678"/>
      <c r="I666" s="679"/>
      <c r="J666" s="678"/>
      <c r="K666" s="679"/>
      <c r="L666" s="678"/>
      <c r="M666" s="679"/>
      <c r="N666" s="724">
        <v>9877</v>
      </c>
      <c r="O666" s="694">
        <f t="shared" si="244"/>
        <v>0</v>
      </c>
      <c r="P666" s="695">
        <f t="shared" si="255"/>
        <v>0</v>
      </c>
      <c r="Q666" s="696">
        <f t="shared" si="245"/>
        <v>9877</v>
      </c>
      <c r="R666" s="697">
        <f t="shared" si="238"/>
        <v>329.23333333333335</v>
      </c>
      <c r="S666" s="679"/>
      <c r="T666" s="678"/>
      <c r="U666" s="694">
        <f t="shared" si="246"/>
        <v>0</v>
      </c>
      <c r="V666" s="698">
        <f t="shared" si="247"/>
        <v>0</v>
      </c>
      <c r="W666" s="679"/>
      <c r="X666" s="678"/>
      <c r="Y666" s="679"/>
      <c r="Z666" s="678"/>
      <c r="AA666" s="679"/>
      <c r="AB666" s="678"/>
      <c r="AC666" s="679"/>
      <c r="AD666" s="678"/>
      <c r="AE666" s="694">
        <f t="shared" si="248"/>
        <v>0</v>
      </c>
      <c r="AF666" s="695">
        <f t="shared" si="239"/>
        <v>0</v>
      </c>
      <c r="AG666" s="696">
        <f t="shared" si="249"/>
        <v>0</v>
      </c>
      <c r="AH666" s="697">
        <f t="shared" si="240"/>
        <v>0</v>
      </c>
      <c r="AI666" s="679"/>
      <c r="AJ666" s="678"/>
      <c r="AK666" s="694">
        <f t="shared" si="250"/>
        <v>0</v>
      </c>
      <c r="AL666" s="698">
        <f t="shared" si="251"/>
        <v>0</v>
      </c>
      <c r="AM666" s="679"/>
      <c r="AN666" s="678"/>
      <c r="AO666" s="679"/>
      <c r="AP666" s="678"/>
      <c r="AQ666" s="679"/>
      <c r="AR666" s="678"/>
      <c r="AS666" s="679"/>
      <c r="AT666" s="724">
        <v>3560</v>
      </c>
      <c r="AU666" s="699">
        <f t="shared" si="241"/>
        <v>0</v>
      </c>
      <c r="AV666" s="695">
        <f t="shared" si="254"/>
        <v>0</v>
      </c>
      <c r="AW666" s="696">
        <f t="shared" si="242"/>
        <v>3560</v>
      </c>
      <c r="AX666" s="697">
        <f t="shared" si="243"/>
        <v>148.33333333333334</v>
      </c>
      <c r="AY666" s="700">
        <f t="shared" si="252"/>
        <v>0</v>
      </c>
      <c r="AZ666" s="697">
        <f t="shared" si="253"/>
        <v>477.56666666666672</v>
      </c>
      <c r="BA666" s="680"/>
    </row>
    <row r="667" spans="1:53">
      <c r="A667" s="517" t="s">
        <v>279</v>
      </c>
      <c r="B667" s="290" t="s">
        <v>865</v>
      </c>
      <c r="C667" s="297" t="s">
        <v>864</v>
      </c>
      <c r="D667" s="153">
        <v>15</v>
      </c>
      <c r="E667" s="564"/>
      <c r="F667" s="565"/>
      <c r="G667" s="679"/>
      <c r="H667" s="678"/>
      <c r="I667" s="679"/>
      <c r="J667" s="678"/>
      <c r="K667" s="679"/>
      <c r="L667" s="678"/>
      <c r="M667" s="679"/>
      <c r="N667" s="724">
        <v>16090</v>
      </c>
      <c r="O667" s="694">
        <f t="shared" si="244"/>
        <v>0</v>
      </c>
      <c r="P667" s="695">
        <f t="shared" si="255"/>
        <v>0</v>
      </c>
      <c r="Q667" s="696">
        <f t="shared" si="245"/>
        <v>16090</v>
      </c>
      <c r="R667" s="697">
        <f t="shared" si="238"/>
        <v>536.33333333333337</v>
      </c>
      <c r="S667" s="679"/>
      <c r="T667" s="678"/>
      <c r="U667" s="694">
        <f t="shared" si="246"/>
        <v>0</v>
      </c>
      <c r="V667" s="698">
        <f t="shared" si="247"/>
        <v>0</v>
      </c>
      <c r="W667" s="679"/>
      <c r="X667" s="678"/>
      <c r="Y667" s="679"/>
      <c r="Z667" s="678"/>
      <c r="AA667" s="679"/>
      <c r="AB667" s="678"/>
      <c r="AC667" s="679"/>
      <c r="AD667" s="678"/>
      <c r="AE667" s="694">
        <f t="shared" si="248"/>
        <v>0</v>
      </c>
      <c r="AF667" s="695">
        <f t="shared" si="239"/>
        <v>0</v>
      </c>
      <c r="AG667" s="696">
        <f t="shared" si="249"/>
        <v>0</v>
      </c>
      <c r="AH667" s="697">
        <f t="shared" si="240"/>
        <v>0</v>
      </c>
      <c r="AI667" s="679"/>
      <c r="AJ667" s="678"/>
      <c r="AK667" s="694">
        <f t="shared" si="250"/>
        <v>0</v>
      </c>
      <c r="AL667" s="698">
        <f t="shared" si="251"/>
        <v>0</v>
      </c>
      <c r="AM667" s="679"/>
      <c r="AN667" s="678"/>
      <c r="AO667" s="679"/>
      <c r="AP667" s="678"/>
      <c r="AQ667" s="679"/>
      <c r="AR667" s="678"/>
      <c r="AS667" s="679"/>
      <c r="AT667" s="724">
        <v>3913</v>
      </c>
      <c r="AU667" s="699">
        <f t="shared" si="241"/>
        <v>0</v>
      </c>
      <c r="AV667" s="695">
        <f t="shared" si="254"/>
        <v>0</v>
      </c>
      <c r="AW667" s="696">
        <f t="shared" si="242"/>
        <v>3913</v>
      </c>
      <c r="AX667" s="697">
        <f t="shared" si="243"/>
        <v>163.04166666666666</v>
      </c>
      <c r="AY667" s="700">
        <f t="shared" si="252"/>
        <v>0</v>
      </c>
      <c r="AZ667" s="697">
        <f t="shared" si="253"/>
        <v>699.375</v>
      </c>
      <c r="BA667" s="680"/>
    </row>
    <row r="668" spans="1:53">
      <c r="A668" s="517" t="s">
        <v>279</v>
      </c>
      <c r="B668" s="290" t="s">
        <v>866</v>
      </c>
      <c r="C668" s="297" t="s">
        <v>864</v>
      </c>
      <c r="D668" s="153">
        <v>15</v>
      </c>
      <c r="E668" s="564"/>
      <c r="F668" s="565"/>
      <c r="G668" s="679"/>
      <c r="H668" s="678"/>
      <c r="I668" s="679"/>
      <c r="J668" s="678"/>
      <c r="K668" s="679"/>
      <c r="L668" s="678"/>
      <c r="M668" s="679"/>
      <c r="N668" s="724">
        <v>12575</v>
      </c>
      <c r="O668" s="694">
        <f t="shared" si="244"/>
        <v>0</v>
      </c>
      <c r="P668" s="695">
        <f t="shared" si="255"/>
        <v>0</v>
      </c>
      <c r="Q668" s="696">
        <f t="shared" si="245"/>
        <v>12575</v>
      </c>
      <c r="R668" s="697">
        <f t="shared" si="238"/>
        <v>419.16666666666669</v>
      </c>
      <c r="S668" s="679"/>
      <c r="T668" s="678"/>
      <c r="U668" s="694">
        <f t="shared" si="246"/>
        <v>0</v>
      </c>
      <c r="V668" s="698">
        <f t="shared" si="247"/>
        <v>0</v>
      </c>
      <c r="W668" s="679"/>
      <c r="X668" s="678"/>
      <c r="Y668" s="679"/>
      <c r="Z668" s="678"/>
      <c r="AA668" s="679"/>
      <c r="AB668" s="678"/>
      <c r="AC668" s="679"/>
      <c r="AD668" s="678"/>
      <c r="AE668" s="694">
        <f t="shared" si="248"/>
        <v>0</v>
      </c>
      <c r="AF668" s="695">
        <f t="shared" si="239"/>
        <v>0</v>
      </c>
      <c r="AG668" s="696">
        <f t="shared" si="249"/>
        <v>0</v>
      </c>
      <c r="AH668" s="697">
        <f t="shared" si="240"/>
        <v>0</v>
      </c>
      <c r="AI668" s="679"/>
      <c r="AJ668" s="678"/>
      <c r="AK668" s="694">
        <f t="shared" si="250"/>
        <v>0</v>
      </c>
      <c r="AL668" s="698">
        <f t="shared" si="251"/>
        <v>0</v>
      </c>
      <c r="AM668" s="679"/>
      <c r="AN668" s="678"/>
      <c r="AO668" s="679"/>
      <c r="AP668" s="678"/>
      <c r="AQ668" s="679"/>
      <c r="AR668" s="678"/>
      <c r="AS668" s="679"/>
      <c r="AT668" s="724">
        <v>1704</v>
      </c>
      <c r="AU668" s="699">
        <f t="shared" si="241"/>
        <v>0</v>
      </c>
      <c r="AV668" s="695">
        <f t="shared" si="254"/>
        <v>0</v>
      </c>
      <c r="AW668" s="696">
        <f t="shared" si="242"/>
        <v>1704</v>
      </c>
      <c r="AX668" s="697">
        <f t="shared" si="243"/>
        <v>71</v>
      </c>
      <c r="AY668" s="700">
        <f t="shared" si="252"/>
        <v>0</v>
      </c>
      <c r="AZ668" s="697">
        <f t="shared" si="253"/>
        <v>490.16666666666669</v>
      </c>
      <c r="BA668" s="680"/>
    </row>
    <row r="669" spans="1:53">
      <c r="A669" s="571" t="s">
        <v>725</v>
      </c>
      <c r="B669" s="572" t="s">
        <v>877</v>
      </c>
      <c r="C669" s="573">
        <v>232186</v>
      </c>
      <c r="D669" s="574">
        <v>1</v>
      </c>
      <c r="E669" s="148" t="s">
        <v>393</v>
      </c>
      <c r="F669" s="149" t="s">
        <v>393</v>
      </c>
      <c r="G669" s="679"/>
      <c r="H669" s="678"/>
      <c r="I669" s="679">
        <v>220129</v>
      </c>
      <c r="J669" s="678">
        <v>236755</v>
      </c>
      <c r="K669" s="679">
        <v>44618</v>
      </c>
      <c r="L669" s="678">
        <v>43038</v>
      </c>
      <c r="M669" s="679">
        <v>236127</v>
      </c>
      <c r="N669" s="678">
        <v>250183</v>
      </c>
      <c r="O669" s="694">
        <f t="shared" si="244"/>
        <v>500874</v>
      </c>
      <c r="P669" s="695">
        <f t="shared" si="255"/>
        <v>16695.8</v>
      </c>
      <c r="Q669" s="696">
        <f>SUM(H669,J669,L669,N669)</f>
        <v>529976</v>
      </c>
      <c r="R669" s="697">
        <f t="shared" ref="R669:R706" si="274">+Q669/30</f>
        <v>17665.866666666665</v>
      </c>
      <c r="S669" s="679">
        <v>554</v>
      </c>
      <c r="T669" s="678">
        <v>1386</v>
      </c>
      <c r="U669" s="694">
        <f t="shared" si="246"/>
        <v>500874</v>
      </c>
      <c r="V669" s="698">
        <f t="shared" si="247"/>
        <v>529976</v>
      </c>
      <c r="W669" s="679"/>
      <c r="X669" s="678"/>
      <c r="Y669" s="679"/>
      <c r="Z669" s="678"/>
      <c r="AA669" s="679"/>
      <c r="AB669" s="678"/>
      <c r="AC669" s="679"/>
      <c r="AD669" s="678"/>
      <c r="AE669" s="694">
        <f t="shared" si="248"/>
        <v>0</v>
      </c>
      <c r="AF669" s="695">
        <f t="shared" ref="AF669:AF706" si="275">+AE669/900</f>
        <v>0</v>
      </c>
      <c r="AG669" s="696">
        <f t="shared" si="249"/>
        <v>0</v>
      </c>
      <c r="AH669" s="697">
        <f t="shared" ref="AH669:AH706" si="276">+AG669/900</f>
        <v>0</v>
      </c>
      <c r="AI669" s="679"/>
      <c r="AJ669" s="678"/>
      <c r="AK669" s="694">
        <f t="shared" si="250"/>
        <v>0</v>
      </c>
      <c r="AL669" s="698">
        <f t="shared" si="251"/>
        <v>0</v>
      </c>
      <c r="AM669" s="679"/>
      <c r="AN669" s="678"/>
      <c r="AO669" s="679">
        <v>68988.5</v>
      </c>
      <c r="AP669" s="702">
        <v>69487</v>
      </c>
      <c r="AQ669" s="679">
        <v>20129.5</v>
      </c>
      <c r="AR669" s="702">
        <v>19763</v>
      </c>
      <c r="AS669" s="679">
        <v>69080</v>
      </c>
      <c r="AT669" s="678">
        <v>74453</v>
      </c>
      <c r="AU669" s="699">
        <f t="shared" ref="AU669:AU706" si="277">SUM(AM669,AO669,AQ669,AS669)</f>
        <v>158198</v>
      </c>
      <c r="AV669" s="695">
        <f t="shared" ref="AV669:AV706" si="278">+AU669/24</f>
        <v>6591.583333333333</v>
      </c>
      <c r="AW669" s="696">
        <f t="shared" ref="AW669:AW706" si="279">SUM(AN669,AP669,AR669,AT669)</f>
        <v>163703</v>
      </c>
      <c r="AX669" s="697">
        <f t="shared" ref="AX669:AX706" si="280">+AW669/24</f>
        <v>6820.958333333333</v>
      </c>
      <c r="AY669" s="700">
        <f t="shared" si="252"/>
        <v>23287.383333333331</v>
      </c>
      <c r="AZ669" s="697">
        <f t="shared" si="253"/>
        <v>24486.824999999997</v>
      </c>
      <c r="BA669" s="680"/>
    </row>
    <row r="670" spans="1:53">
      <c r="A670" s="571" t="s">
        <v>725</v>
      </c>
      <c r="B670" s="582" t="s">
        <v>881</v>
      </c>
      <c r="C670" s="583">
        <v>232982</v>
      </c>
      <c r="D670" s="587">
        <v>1</v>
      </c>
      <c r="E670" s="148" t="s">
        <v>393</v>
      </c>
      <c r="F670" s="149" t="s">
        <v>393</v>
      </c>
      <c r="G670" s="679"/>
      <c r="H670" s="678"/>
      <c r="I670" s="679">
        <v>179804.5</v>
      </c>
      <c r="J670" s="678">
        <v>206152</v>
      </c>
      <c r="K670" s="679">
        <v>44342</v>
      </c>
      <c r="L670" s="678">
        <v>44750</v>
      </c>
      <c r="M670" s="679">
        <v>205704</v>
      </c>
      <c r="N670" s="678">
        <v>218179</v>
      </c>
      <c r="O670" s="694">
        <f t="shared" si="244"/>
        <v>429850.5</v>
      </c>
      <c r="P670" s="695">
        <f t="shared" si="255"/>
        <v>14328.35</v>
      </c>
      <c r="Q670" s="696">
        <f t="shared" si="245"/>
        <v>469081</v>
      </c>
      <c r="R670" s="697">
        <f t="shared" si="274"/>
        <v>15636.033333333333</v>
      </c>
      <c r="S670" s="679">
        <v>136</v>
      </c>
      <c r="T670" s="678">
        <v>107</v>
      </c>
      <c r="U670" s="694">
        <f t="shared" si="246"/>
        <v>429850.5</v>
      </c>
      <c r="V670" s="698">
        <f t="shared" si="247"/>
        <v>469081</v>
      </c>
      <c r="W670" s="679"/>
      <c r="X670" s="678"/>
      <c r="Y670" s="679"/>
      <c r="Z670" s="678"/>
      <c r="AA670" s="679"/>
      <c r="AB670" s="678"/>
      <c r="AC670" s="679"/>
      <c r="AD670" s="678"/>
      <c r="AE670" s="694">
        <f t="shared" si="248"/>
        <v>0</v>
      </c>
      <c r="AF670" s="695">
        <f t="shared" si="275"/>
        <v>0</v>
      </c>
      <c r="AG670" s="696">
        <f t="shared" si="249"/>
        <v>0</v>
      </c>
      <c r="AH670" s="697">
        <f t="shared" si="276"/>
        <v>0</v>
      </c>
      <c r="AI670" s="679"/>
      <c r="AJ670" s="678"/>
      <c r="AK670" s="694">
        <f t="shared" si="250"/>
        <v>0</v>
      </c>
      <c r="AL670" s="698">
        <f t="shared" si="251"/>
        <v>0</v>
      </c>
      <c r="AM670" s="679"/>
      <c r="AN670" s="678"/>
      <c r="AO670" s="679">
        <v>30130</v>
      </c>
      <c r="AP670" s="678">
        <v>31257</v>
      </c>
      <c r="AQ670" s="679">
        <v>17989</v>
      </c>
      <c r="AR670" s="678">
        <v>16050</v>
      </c>
      <c r="AS670" s="679">
        <v>33552</v>
      </c>
      <c r="AT670" s="678">
        <v>34695</v>
      </c>
      <c r="AU670" s="699">
        <f t="shared" si="277"/>
        <v>81671</v>
      </c>
      <c r="AV670" s="695">
        <f t="shared" si="278"/>
        <v>3402.9583333333335</v>
      </c>
      <c r="AW670" s="696">
        <f t="shared" si="279"/>
        <v>82002</v>
      </c>
      <c r="AX670" s="697">
        <f t="shared" si="280"/>
        <v>3416.75</v>
      </c>
      <c r="AY670" s="700">
        <f t="shared" si="252"/>
        <v>17731.308333333334</v>
      </c>
      <c r="AZ670" s="697">
        <f t="shared" si="253"/>
        <v>19052.783333333333</v>
      </c>
      <c r="BA670" s="680"/>
    </row>
    <row r="671" spans="1:53">
      <c r="A671" s="571" t="s">
        <v>725</v>
      </c>
      <c r="B671" s="575" t="s">
        <v>878</v>
      </c>
      <c r="C671" s="576">
        <v>234076</v>
      </c>
      <c r="D671" s="574">
        <v>1</v>
      </c>
      <c r="E671" s="148" t="s">
        <v>393</v>
      </c>
      <c r="F671" s="149" t="s">
        <v>393</v>
      </c>
      <c r="G671" s="679"/>
      <c r="H671" s="678"/>
      <c r="I671" s="679">
        <v>213191</v>
      </c>
      <c r="J671" s="727">
        <v>216412</v>
      </c>
      <c r="K671" s="679">
        <v>28682</v>
      </c>
      <c r="L671" s="727">
        <v>28953</v>
      </c>
      <c r="M671" s="679">
        <v>219549</v>
      </c>
      <c r="N671" s="727">
        <v>225092</v>
      </c>
      <c r="O671" s="694">
        <f t="shared" si="244"/>
        <v>461422</v>
      </c>
      <c r="P671" s="695">
        <f t="shared" si="255"/>
        <v>15380.733333333334</v>
      </c>
      <c r="Q671" s="696">
        <f t="shared" si="245"/>
        <v>470457</v>
      </c>
      <c r="R671" s="697">
        <f t="shared" si="274"/>
        <v>15681.9</v>
      </c>
      <c r="S671" s="679">
        <v>0</v>
      </c>
      <c r="T671" s="678">
        <v>0</v>
      </c>
      <c r="U671" s="694">
        <f t="shared" si="246"/>
        <v>461422</v>
      </c>
      <c r="V671" s="698">
        <f t="shared" si="247"/>
        <v>470457</v>
      </c>
      <c r="W671" s="679"/>
      <c r="X671" s="678"/>
      <c r="Y671" s="679"/>
      <c r="Z671" s="678"/>
      <c r="AA671" s="679"/>
      <c r="AB671" s="678"/>
      <c r="AC671" s="679"/>
      <c r="AD671" s="678"/>
      <c r="AE671" s="694">
        <f t="shared" si="248"/>
        <v>0</v>
      </c>
      <c r="AF671" s="695">
        <f t="shared" si="275"/>
        <v>0</v>
      </c>
      <c r="AG671" s="696">
        <f t="shared" si="249"/>
        <v>0</v>
      </c>
      <c r="AH671" s="697">
        <f t="shared" si="276"/>
        <v>0</v>
      </c>
      <c r="AI671" s="679"/>
      <c r="AJ671" s="678"/>
      <c r="AK671" s="694">
        <f t="shared" si="250"/>
        <v>0</v>
      </c>
      <c r="AL671" s="698">
        <f t="shared" si="251"/>
        <v>0</v>
      </c>
      <c r="AM671" s="679"/>
      <c r="AN671" s="678"/>
      <c r="AO671" s="679">
        <v>92984</v>
      </c>
      <c r="AP671" s="727">
        <v>92966</v>
      </c>
      <c r="AQ671" s="679">
        <v>22639</v>
      </c>
      <c r="AR671" s="727">
        <v>22415</v>
      </c>
      <c r="AS671" s="679">
        <v>85698</v>
      </c>
      <c r="AT671" s="727">
        <v>86586</v>
      </c>
      <c r="AU671" s="699">
        <f t="shared" si="277"/>
        <v>201321</v>
      </c>
      <c r="AV671" s="695">
        <f t="shared" si="278"/>
        <v>8388.375</v>
      </c>
      <c r="AW671" s="696">
        <f t="shared" si="279"/>
        <v>201967</v>
      </c>
      <c r="AX671" s="697">
        <f t="shared" si="280"/>
        <v>8415.2916666666661</v>
      </c>
      <c r="AY671" s="700">
        <f t="shared" si="252"/>
        <v>23769.108333333334</v>
      </c>
      <c r="AZ671" s="697">
        <f t="shared" si="253"/>
        <v>24097.191666666666</v>
      </c>
      <c r="BA671" s="680"/>
    </row>
    <row r="672" spans="1:53">
      <c r="A672" s="571" t="s">
        <v>725</v>
      </c>
      <c r="B672" s="575" t="s">
        <v>879</v>
      </c>
      <c r="C672" s="576">
        <v>233921</v>
      </c>
      <c r="D672" s="574">
        <v>1</v>
      </c>
      <c r="E672" s="148" t="s">
        <v>393</v>
      </c>
      <c r="F672" s="149" t="s">
        <v>393</v>
      </c>
      <c r="G672" s="679"/>
      <c r="H672" s="678"/>
      <c r="I672" s="679">
        <v>330036</v>
      </c>
      <c r="J672" s="728">
        <v>362577</v>
      </c>
      <c r="K672" s="679">
        <v>35927</v>
      </c>
      <c r="L672" s="728">
        <v>37979</v>
      </c>
      <c r="M672" s="679">
        <v>358013</v>
      </c>
      <c r="N672" s="728">
        <v>358169</v>
      </c>
      <c r="O672" s="694">
        <f t="shared" si="244"/>
        <v>723976</v>
      </c>
      <c r="P672" s="695">
        <f t="shared" si="255"/>
        <v>24132.533333333333</v>
      </c>
      <c r="Q672" s="696">
        <f t="shared" si="245"/>
        <v>758725</v>
      </c>
      <c r="R672" s="697">
        <f t="shared" si="274"/>
        <v>25290.833333333332</v>
      </c>
      <c r="S672" s="679">
        <v>0</v>
      </c>
      <c r="T672" s="678">
        <v>0</v>
      </c>
      <c r="U672" s="694">
        <f t="shared" si="246"/>
        <v>723976</v>
      </c>
      <c r="V672" s="698">
        <f t="shared" si="247"/>
        <v>758725</v>
      </c>
      <c r="W672" s="679"/>
      <c r="X672" s="678"/>
      <c r="Y672" s="679"/>
      <c r="Z672" s="678"/>
      <c r="AA672" s="679"/>
      <c r="AB672" s="678"/>
      <c r="AC672" s="679"/>
      <c r="AD672" s="678"/>
      <c r="AE672" s="694">
        <f t="shared" si="248"/>
        <v>0</v>
      </c>
      <c r="AF672" s="695">
        <f t="shared" si="275"/>
        <v>0</v>
      </c>
      <c r="AG672" s="696">
        <f t="shared" si="249"/>
        <v>0</v>
      </c>
      <c r="AH672" s="697">
        <f t="shared" si="276"/>
        <v>0</v>
      </c>
      <c r="AI672" s="679"/>
      <c r="AJ672" s="678"/>
      <c r="AK672" s="694">
        <f t="shared" si="250"/>
        <v>0</v>
      </c>
      <c r="AL672" s="698">
        <f t="shared" si="251"/>
        <v>0</v>
      </c>
      <c r="AM672" s="679"/>
      <c r="AN672" s="678"/>
      <c r="AO672" s="679">
        <v>60456</v>
      </c>
      <c r="AP672" s="728">
        <v>63220</v>
      </c>
      <c r="AQ672" s="679">
        <v>8386</v>
      </c>
      <c r="AR672" s="728">
        <v>8441</v>
      </c>
      <c r="AS672" s="679">
        <v>65922</v>
      </c>
      <c r="AT672" s="728">
        <v>69455</v>
      </c>
      <c r="AU672" s="699">
        <f t="shared" si="277"/>
        <v>134764</v>
      </c>
      <c r="AV672" s="695">
        <f t="shared" si="278"/>
        <v>5615.166666666667</v>
      </c>
      <c r="AW672" s="696">
        <f t="shared" si="279"/>
        <v>141116</v>
      </c>
      <c r="AX672" s="697">
        <f t="shared" si="280"/>
        <v>5879.833333333333</v>
      </c>
      <c r="AY672" s="700">
        <f t="shared" si="252"/>
        <v>29747.7</v>
      </c>
      <c r="AZ672" s="697">
        <f t="shared" si="253"/>
        <v>31170.666666666664</v>
      </c>
      <c r="BA672" s="680"/>
    </row>
    <row r="673" spans="1:53">
      <c r="A673" s="571" t="s">
        <v>725</v>
      </c>
      <c r="B673" s="575" t="s">
        <v>880</v>
      </c>
      <c r="C673" s="576">
        <v>231624</v>
      </c>
      <c r="D673" s="268">
        <v>2</v>
      </c>
      <c r="E673" s="148" t="s">
        <v>393</v>
      </c>
      <c r="F673" s="149" t="s">
        <v>393</v>
      </c>
      <c r="G673" s="679"/>
      <c r="H673" s="678"/>
      <c r="I673" s="679">
        <v>79503.5</v>
      </c>
      <c r="J673" s="678">
        <v>83638</v>
      </c>
      <c r="K673" s="679">
        <v>5379</v>
      </c>
      <c r="L673" s="678">
        <v>7454</v>
      </c>
      <c r="M673" s="679">
        <v>84133</v>
      </c>
      <c r="N673" s="678">
        <v>83971</v>
      </c>
      <c r="O673" s="694">
        <f t="shared" si="244"/>
        <v>169015.5</v>
      </c>
      <c r="P673" s="695">
        <f t="shared" si="255"/>
        <v>5633.85</v>
      </c>
      <c r="Q673" s="696">
        <f t="shared" si="245"/>
        <v>175063</v>
      </c>
      <c r="R673" s="697">
        <f t="shared" si="274"/>
        <v>5835.4333333333334</v>
      </c>
      <c r="S673" s="679">
        <v>0</v>
      </c>
      <c r="T673" s="678">
        <v>0</v>
      </c>
      <c r="U673" s="694">
        <f t="shared" si="246"/>
        <v>169015.5</v>
      </c>
      <c r="V673" s="698">
        <f t="shared" si="247"/>
        <v>175063</v>
      </c>
      <c r="W673" s="679"/>
      <c r="X673" s="678"/>
      <c r="Y673" s="679"/>
      <c r="Z673" s="678"/>
      <c r="AA673" s="679"/>
      <c r="AB673" s="678"/>
      <c r="AC673" s="679"/>
      <c r="AD673" s="678"/>
      <c r="AE673" s="694">
        <f t="shared" si="248"/>
        <v>0</v>
      </c>
      <c r="AF673" s="695">
        <f t="shared" si="275"/>
        <v>0</v>
      </c>
      <c r="AG673" s="696">
        <f t="shared" si="249"/>
        <v>0</v>
      </c>
      <c r="AH673" s="697">
        <f t="shared" si="276"/>
        <v>0</v>
      </c>
      <c r="AI673" s="679"/>
      <c r="AJ673" s="678"/>
      <c r="AK673" s="694">
        <f t="shared" si="250"/>
        <v>0</v>
      </c>
      <c r="AL673" s="698">
        <f t="shared" si="251"/>
        <v>0</v>
      </c>
      <c r="AM673" s="679"/>
      <c r="AN673" s="678"/>
      <c r="AO673" s="679">
        <v>22732.5</v>
      </c>
      <c r="AP673" s="702">
        <v>23997</v>
      </c>
      <c r="AQ673" s="679">
        <v>5343.5</v>
      </c>
      <c r="AR673" s="702">
        <v>5222</v>
      </c>
      <c r="AS673" s="679">
        <v>23617</v>
      </c>
      <c r="AT673" s="678">
        <v>24744</v>
      </c>
      <c r="AU673" s="699">
        <f t="shared" si="277"/>
        <v>51693</v>
      </c>
      <c r="AV673" s="695">
        <f t="shared" si="278"/>
        <v>2153.875</v>
      </c>
      <c r="AW673" s="696">
        <f t="shared" si="279"/>
        <v>53963</v>
      </c>
      <c r="AX673" s="697">
        <f t="shared" si="280"/>
        <v>2248.4583333333335</v>
      </c>
      <c r="AY673" s="700">
        <f t="shared" si="252"/>
        <v>7787.7250000000004</v>
      </c>
      <c r="AZ673" s="697">
        <f t="shared" si="253"/>
        <v>8083.8916666666664</v>
      </c>
      <c r="BA673" s="680"/>
    </row>
    <row r="674" spans="1:53">
      <c r="A674" s="571" t="s">
        <v>725</v>
      </c>
      <c r="B674" s="585" t="s">
        <v>916</v>
      </c>
      <c r="C674" s="576">
        <v>234030</v>
      </c>
      <c r="D674" s="574">
        <v>2</v>
      </c>
      <c r="E674" s="148" t="s">
        <v>393</v>
      </c>
      <c r="F674" s="149" t="s">
        <v>393</v>
      </c>
      <c r="G674" s="679"/>
      <c r="H674" s="678"/>
      <c r="I674" s="679">
        <v>268479.5</v>
      </c>
      <c r="J674" s="678">
        <v>296848</v>
      </c>
      <c r="K674" s="679">
        <v>42855.5</v>
      </c>
      <c r="L674" s="678">
        <v>43401.5</v>
      </c>
      <c r="M674" s="679">
        <v>295423</v>
      </c>
      <c r="N674" s="678">
        <v>305196</v>
      </c>
      <c r="O674" s="694">
        <f t="shared" si="244"/>
        <v>606758</v>
      </c>
      <c r="P674" s="695">
        <f t="shared" si="255"/>
        <v>20225.266666666666</v>
      </c>
      <c r="Q674" s="696">
        <f t="shared" si="245"/>
        <v>645445.5</v>
      </c>
      <c r="R674" s="697">
        <f t="shared" si="274"/>
        <v>21514.85</v>
      </c>
      <c r="S674" s="679">
        <v>2785</v>
      </c>
      <c r="T674" s="678">
        <v>3884</v>
      </c>
      <c r="U674" s="694">
        <f t="shared" si="246"/>
        <v>606758</v>
      </c>
      <c r="V674" s="698">
        <f t="shared" si="247"/>
        <v>645445.5</v>
      </c>
      <c r="W674" s="679"/>
      <c r="X674" s="678"/>
      <c r="Y674" s="679"/>
      <c r="Z674" s="678"/>
      <c r="AA674" s="679"/>
      <c r="AB674" s="678"/>
      <c r="AC674" s="679"/>
      <c r="AD674" s="678"/>
      <c r="AE674" s="694">
        <f t="shared" si="248"/>
        <v>0</v>
      </c>
      <c r="AF674" s="695">
        <f t="shared" si="275"/>
        <v>0</v>
      </c>
      <c r="AG674" s="696">
        <f t="shared" si="249"/>
        <v>0</v>
      </c>
      <c r="AH674" s="697">
        <f t="shared" si="276"/>
        <v>0</v>
      </c>
      <c r="AI674" s="679"/>
      <c r="AJ674" s="678"/>
      <c r="AK674" s="694">
        <f t="shared" si="250"/>
        <v>0</v>
      </c>
      <c r="AL674" s="698">
        <f t="shared" si="251"/>
        <v>0</v>
      </c>
      <c r="AM674" s="679"/>
      <c r="AN674" s="678"/>
      <c r="AO674" s="679">
        <v>61235.5</v>
      </c>
      <c r="AP674" s="702">
        <v>67767</v>
      </c>
      <c r="AQ674" s="679">
        <v>17136.5</v>
      </c>
      <c r="AR674" s="702">
        <v>17238</v>
      </c>
      <c r="AS674" s="679">
        <v>67012</v>
      </c>
      <c r="AT674" s="678">
        <v>68210</v>
      </c>
      <c r="AU674" s="699">
        <f t="shared" si="277"/>
        <v>145384</v>
      </c>
      <c r="AV674" s="695">
        <f t="shared" si="278"/>
        <v>6057.666666666667</v>
      </c>
      <c r="AW674" s="696">
        <f t="shared" si="279"/>
        <v>153215</v>
      </c>
      <c r="AX674" s="697">
        <f t="shared" si="280"/>
        <v>6383.958333333333</v>
      </c>
      <c r="AY674" s="700">
        <f t="shared" si="252"/>
        <v>26282.933333333334</v>
      </c>
      <c r="AZ674" s="697">
        <f t="shared" si="253"/>
        <v>27898.808333333331</v>
      </c>
      <c r="BA674" s="680"/>
    </row>
    <row r="675" spans="1:53">
      <c r="A675" s="571" t="s">
        <v>725</v>
      </c>
      <c r="B675" s="575" t="s">
        <v>882</v>
      </c>
      <c r="C675" s="576">
        <v>232423</v>
      </c>
      <c r="D675" s="574">
        <v>3</v>
      </c>
      <c r="E675" s="148" t="s">
        <v>393</v>
      </c>
      <c r="F675" s="149" t="s">
        <v>393</v>
      </c>
      <c r="G675" s="679"/>
      <c r="H675" s="678"/>
      <c r="I675" s="679">
        <v>226989</v>
      </c>
      <c r="J675" s="678">
        <v>248467</v>
      </c>
      <c r="K675" s="679">
        <v>24679</v>
      </c>
      <c r="L675" s="678">
        <v>25703</v>
      </c>
      <c r="M675" s="679">
        <v>248014</v>
      </c>
      <c r="N675" s="678">
        <v>252949</v>
      </c>
      <c r="O675" s="694">
        <f t="shared" si="244"/>
        <v>499682</v>
      </c>
      <c r="P675" s="695">
        <f t="shared" si="255"/>
        <v>16656.066666666666</v>
      </c>
      <c r="Q675" s="696">
        <f t="shared" si="245"/>
        <v>527119</v>
      </c>
      <c r="R675" s="697">
        <f t="shared" si="274"/>
        <v>17570.633333333335</v>
      </c>
      <c r="S675" s="679">
        <v>1026</v>
      </c>
      <c r="T675" s="678">
        <v>1603</v>
      </c>
      <c r="U675" s="694">
        <f t="shared" si="246"/>
        <v>499682</v>
      </c>
      <c r="V675" s="698">
        <f t="shared" si="247"/>
        <v>527119</v>
      </c>
      <c r="W675" s="679"/>
      <c r="X675" s="678"/>
      <c r="Y675" s="679"/>
      <c r="Z675" s="678"/>
      <c r="AA675" s="679"/>
      <c r="AB675" s="678"/>
      <c r="AC675" s="679"/>
      <c r="AD675" s="678"/>
      <c r="AE675" s="694">
        <f t="shared" si="248"/>
        <v>0</v>
      </c>
      <c r="AF675" s="695">
        <f t="shared" si="275"/>
        <v>0</v>
      </c>
      <c r="AG675" s="696">
        <f t="shared" si="249"/>
        <v>0</v>
      </c>
      <c r="AH675" s="697">
        <f t="shared" si="276"/>
        <v>0</v>
      </c>
      <c r="AI675" s="679"/>
      <c r="AJ675" s="678"/>
      <c r="AK675" s="694">
        <f t="shared" si="250"/>
        <v>0</v>
      </c>
      <c r="AL675" s="698">
        <f t="shared" si="251"/>
        <v>0</v>
      </c>
      <c r="AM675" s="679"/>
      <c r="AN675" s="678"/>
      <c r="AO675" s="679">
        <v>10907</v>
      </c>
      <c r="AP675" s="678">
        <v>12175</v>
      </c>
      <c r="AQ675" s="679">
        <v>6822</v>
      </c>
      <c r="AR675" s="678">
        <v>5916</v>
      </c>
      <c r="AS675" s="679">
        <v>12420</v>
      </c>
      <c r="AT675" s="678">
        <v>13791</v>
      </c>
      <c r="AU675" s="699">
        <f t="shared" si="277"/>
        <v>30149</v>
      </c>
      <c r="AV675" s="695">
        <f t="shared" si="278"/>
        <v>1256.2083333333333</v>
      </c>
      <c r="AW675" s="696">
        <f t="shared" si="279"/>
        <v>31882</v>
      </c>
      <c r="AX675" s="697">
        <f t="shared" si="280"/>
        <v>1328.4166666666667</v>
      </c>
      <c r="AY675" s="700">
        <f t="shared" si="252"/>
        <v>17912.274999999998</v>
      </c>
      <c r="AZ675" s="697">
        <f t="shared" si="253"/>
        <v>18899.050000000003</v>
      </c>
      <c r="BA675" s="680"/>
    </row>
    <row r="676" spans="1:53">
      <c r="A676" s="571" t="s">
        <v>725</v>
      </c>
      <c r="B676" s="582" t="s">
        <v>885</v>
      </c>
      <c r="C676" s="583">
        <v>232937</v>
      </c>
      <c r="D676" s="584">
        <v>3</v>
      </c>
      <c r="E676" s="148" t="s">
        <v>393</v>
      </c>
      <c r="F676" s="149" t="s">
        <v>393</v>
      </c>
      <c r="G676" s="679"/>
      <c r="H676" s="678"/>
      <c r="I676" s="679">
        <v>63301</v>
      </c>
      <c r="J676" s="678">
        <v>71093</v>
      </c>
      <c r="K676" s="679">
        <v>7578</v>
      </c>
      <c r="L676" s="678">
        <v>7877</v>
      </c>
      <c r="M676" s="679">
        <v>72561</v>
      </c>
      <c r="N676" s="678">
        <v>79430</v>
      </c>
      <c r="O676" s="694">
        <f t="shared" si="244"/>
        <v>143440</v>
      </c>
      <c r="P676" s="695">
        <f t="shared" si="255"/>
        <v>4781.333333333333</v>
      </c>
      <c r="Q676" s="696">
        <f t="shared" si="245"/>
        <v>158400</v>
      </c>
      <c r="R676" s="697">
        <f t="shared" si="274"/>
        <v>5280</v>
      </c>
      <c r="S676" s="679">
        <v>39</v>
      </c>
      <c r="T676" s="678">
        <v>133</v>
      </c>
      <c r="U676" s="694">
        <f t="shared" si="246"/>
        <v>143440</v>
      </c>
      <c r="V676" s="698">
        <f t="shared" si="247"/>
        <v>158400</v>
      </c>
      <c r="W676" s="679"/>
      <c r="X676" s="678"/>
      <c r="Y676" s="679"/>
      <c r="Z676" s="678"/>
      <c r="AA676" s="679"/>
      <c r="AB676" s="678"/>
      <c r="AC676" s="679"/>
      <c r="AD676" s="678"/>
      <c r="AE676" s="694">
        <f t="shared" si="248"/>
        <v>0</v>
      </c>
      <c r="AF676" s="695">
        <f t="shared" si="275"/>
        <v>0</v>
      </c>
      <c r="AG676" s="696">
        <f t="shared" si="249"/>
        <v>0</v>
      </c>
      <c r="AH676" s="697">
        <f t="shared" si="276"/>
        <v>0</v>
      </c>
      <c r="AI676" s="679"/>
      <c r="AJ676" s="678"/>
      <c r="AK676" s="694">
        <f t="shared" si="250"/>
        <v>0</v>
      </c>
      <c r="AL676" s="698">
        <f t="shared" si="251"/>
        <v>0</v>
      </c>
      <c r="AM676" s="679"/>
      <c r="AN676" s="678"/>
      <c r="AO676" s="679">
        <v>5628</v>
      </c>
      <c r="AP676" s="678">
        <v>5387</v>
      </c>
      <c r="AQ676" s="679">
        <v>1490</v>
      </c>
      <c r="AR676" s="702">
        <v>3716</v>
      </c>
      <c r="AS676" s="679">
        <v>5225</v>
      </c>
      <c r="AT676" s="678">
        <v>6534</v>
      </c>
      <c r="AU676" s="699">
        <f t="shared" si="277"/>
        <v>12343</v>
      </c>
      <c r="AV676" s="695">
        <f t="shared" si="278"/>
        <v>514.29166666666663</v>
      </c>
      <c r="AW676" s="696">
        <f t="shared" si="279"/>
        <v>15637</v>
      </c>
      <c r="AX676" s="697">
        <f t="shared" si="280"/>
        <v>651.54166666666663</v>
      </c>
      <c r="AY676" s="700">
        <f t="shared" si="252"/>
        <v>5295.625</v>
      </c>
      <c r="AZ676" s="697">
        <f t="shared" si="253"/>
        <v>5931.541666666667</v>
      </c>
      <c r="BA676" s="680"/>
    </row>
    <row r="677" spans="1:53">
      <c r="A677" s="571" t="s">
        <v>725</v>
      </c>
      <c r="B677" s="582" t="s">
        <v>883</v>
      </c>
      <c r="C677" s="583">
        <v>233277</v>
      </c>
      <c r="D677" s="584">
        <v>4</v>
      </c>
      <c r="E677" s="148" t="s">
        <v>393</v>
      </c>
      <c r="F677" s="149" t="s">
        <v>393</v>
      </c>
      <c r="G677" s="679"/>
      <c r="H677" s="678"/>
      <c r="I677" s="679">
        <v>108160</v>
      </c>
      <c r="J677" s="678">
        <v>119931</v>
      </c>
      <c r="K677" s="679">
        <v>13292</v>
      </c>
      <c r="L677" s="678">
        <v>11865</v>
      </c>
      <c r="M677" s="679">
        <v>119539</v>
      </c>
      <c r="N677" s="678">
        <v>113607</v>
      </c>
      <c r="O677" s="694">
        <f t="shared" si="244"/>
        <v>240991</v>
      </c>
      <c r="P677" s="695">
        <f t="shared" si="255"/>
        <v>8033.0333333333338</v>
      </c>
      <c r="Q677" s="696">
        <f t="shared" si="245"/>
        <v>245403</v>
      </c>
      <c r="R677" s="697">
        <f t="shared" si="274"/>
        <v>8180.1</v>
      </c>
      <c r="S677" s="679">
        <v>0</v>
      </c>
      <c r="T677" s="678">
        <v>0</v>
      </c>
      <c r="U677" s="694">
        <f t="shared" si="246"/>
        <v>240991</v>
      </c>
      <c r="V677" s="698">
        <f t="shared" si="247"/>
        <v>245403</v>
      </c>
      <c r="W677" s="679"/>
      <c r="X677" s="678"/>
      <c r="Y677" s="679"/>
      <c r="Z677" s="678"/>
      <c r="AA677" s="679"/>
      <c r="AB677" s="678"/>
      <c r="AC677" s="679"/>
      <c r="AD677" s="678"/>
      <c r="AE677" s="694">
        <f t="shared" si="248"/>
        <v>0</v>
      </c>
      <c r="AF677" s="695">
        <f t="shared" si="275"/>
        <v>0</v>
      </c>
      <c r="AG677" s="696">
        <f t="shared" si="249"/>
        <v>0</v>
      </c>
      <c r="AH677" s="697">
        <f t="shared" si="276"/>
        <v>0</v>
      </c>
      <c r="AI677" s="679"/>
      <c r="AJ677" s="678"/>
      <c r="AK677" s="694">
        <f t="shared" si="250"/>
        <v>0</v>
      </c>
      <c r="AL677" s="698">
        <f t="shared" si="251"/>
        <v>0</v>
      </c>
      <c r="AM677" s="679"/>
      <c r="AN677" s="678"/>
      <c r="AO677" s="679">
        <v>7811</v>
      </c>
      <c r="AP677" s="678">
        <v>7336</v>
      </c>
      <c r="AQ677" s="679">
        <v>4089</v>
      </c>
      <c r="AR677" s="678">
        <v>3713</v>
      </c>
      <c r="AS677" s="679">
        <v>7488</v>
      </c>
      <c r="AT677" s="678">
        <v>8104</v>
      </c>
      <c r="AU677" s="699">
        <f t="shared" si="277"/>
        <v>19388</v>
      </c>
      <c r="AV677" s="695">
        <f t="shared" si="278"/>
        <v>807.83333333333337</v>
      </c>
      <c r="AW677" s="696">
        <f t="shared" si="279"/>
        <v>19153</v>
      </c>
      <c r="AX677" s="697">
        <f t="shared" si="280"/>
        <v>798.04166666666663</v>
      </c>
      <c r="AY677" s="700">
        <f t="shared" si="252"/>
        <v>8840.8666666666668</v>
      </c>
      <c r="AZ677" s="697">
        <f t="shared" si="253"/>
        <v>8978.1416666666664</v>
      </c>
      <c r="BA677" s="680"/>
    </row>
    <row r="678" spans="1:53">
      <c r="A678" s="571" t="s">
        <v>725</v>
      </c>
      <c r="B678" s="572" t="s">
        <v>886</v>
      </c>
      <c r="C678" s="576">
        <v>234155</v>
      </c>
      <c r="D678" s="268">
        <v>4</v>
      </c>
      <c r="E678" s="148" t="s">
        <v>393</v>
      </c>
      <c r="F678" s="149" t="s">
        <v>393</v>
      </c>
      <c r="G678" s="679"/>
      <c r="H678" s="678"/>
      <c r="I678" s="679">
        <v>56311</v>
      </c>
      <c r="J678" s="678">
        <v>69015</v>
      </c>
      <c r="K678" s="679">
        <v>4202</v>
      </c>
      <c r="L678" s="678">
        <v>5843</v>
      </c>
      <c r="M678" s="679">
        <v>64940</v>
      </c>
      <c r="N678" s="678">
        <v>72100</v>
      </c>
      <c r="O678" s="694">
        <f t="shared" si="244"/>
        <v>125453</v>
      </c>
      <c r="P678" s="695">
        <f t="shared" si="255"/>
        <v>4181.7666666666664</v>
      </c>
      <c r="Q678" s="696">
        <f t="shared" si="245"/>
        <v>146958</v>
      </c>
      <c r="R678" s="697">
        <f t="shared" si="274"/>
        <v>4898.6000000000004</v>
      </c>
      <c r="S678" s="679">
        <v>0</v>
      </c>
      <c r="T678" s="678">
        <v>0</v>
      </c>
      <c r="U678" s="694">
        <f t="shared" si="246"/>
        <v>125453</v>
      </c>
      <c r="V678" s="698">
        <f t="shared" si="247"/>
        <v>146958</v>
      </c>
      <c r="W678" s="679"/>
      <c r="X678" s="678"/>
      <c r="Y678" s="679"/>
      <c r="Z678" s="678"/>
      <c r="AA678" s="679"/>
      <c r="AB678" s="678"/>
      <c r="AC678" s="679"/>
      <c r="AD678" s="678"/>
      <c r="AE678" s="694">
        <f t="shared" si="248"/>
        <v>0</v>
      </c>
      <c r="AF678" s="695">
        <f t="shared" si="275"/>
        <v>0</v>
      </c>
      <c r="AG678" s="696">
        <f t="shared" si="249"/>
        <v>0</v>
      </c>
      <c r="AH678" s="697">
        <f t="shared" si="276"/>
        <v>0</v>
      </c>
      <c r="AI678" s="679"/>
      <c r="AJ678" s="678"/>
      <c r="AK678" s="694">
        <f t="shared" si="250"/>
        <v>0</v>
      </c>
      <c r="AL678" s="698">
        <f t="shared" si="251"/>
        <v>0</v>
      </c>
      <c r="AM678" s="679"/>
      <c r="AN678" s="678"/>
      <c r="AO678" s="679">
        <v>2866</v>
      </c>
      <c r="AP678" s="678">
        <v>3395</v>
      </c>
      <c r="AQ678" s="679">
        <v>1280</v>
      </c>
      <c r="AR678" s="678">
        <v>1143</v>
      </c>
      <c r="AS678" s="679">
        <v>3434</v>
      </c>
      <c r="AT678" s="678">
        <v>3524</v>
      </c>
      <c r="AU678" s="699">
        <f t="shared" si="277"/>
        <v>7580</v>
      </c>
      <c r="AV678" s="695">
        <f t="shared" si="278"/>
        <v>315.83333333333331</v>
      </c>
      <c r="AW678" s="696">
        <f t="shared" si="279"/>
        <v>8062</v>
      </c>
      <c r="AX678" s="697">
        <f t="shared" si="280"/>
        <v>335.91666666666669</v>
      </c>
      <c r="AY678" s="700">
        <f t="shared" si="252"/>
        <v>4497.5999999999995</v>
      </c>
      <c r="AZ678" s="697">
        <f t="shared" si="253"/>
        <v>5234.5166666666673</v>
      </c>
      <c r="BA678" s="680"/>
    </row>
    <row r="679" spans="1:53">
      <c r="A679" s="571" t="s">
        <v>725</v>
      </c>
      <c r="B679" s="582" t="s">
        <v>884</v>
      </c>
      <c r="C679" s="583">
        <v>231712</v>
      </c>
      <c r="D679" s="587">
        <v>5</v>
      </c>
      <c r="E679" s="148" t="s">
        <v>393</v>
      </c>
      <c r="F679" s="149" t="s">
        <v>393</v>
      </c>
      <c r="G679" s="679"/>
      <c r="H679" s="678"/>
      <c r="I679" s="679">
        <v>64515</v>
      </c>
      <c r="J679" s="678">
        <v>69113</v>
      </c>
      <c r="K679" s="679">
        <v>3467</v>
      </c>
      <c r="L679" s="678">
        <v>3422</v>
      </c>
      <c r="M679" s="679">
        <v>69310</v>
      </c>
      <c r="N679" s="678">
        <v>69689</v>
      </c>
      <c r="O679" s="694">
        <f t="shared" si="244"/>
        <v>137292</v>
      </c>
      <c r="P679" s="695">
        <f t="shared" si="255"/>
        <v>4576.3999999999996</v>
      </c>
      <c r="Q679" s="696">
        <f t="shared" si="245"/>
        <v>142224</v>
      </c>
      <c r="R679" s="697">
        <f t="shared" si="274"/>
        <v>4740.8</v>
      </c>
      <c r="S679" s="679">
        <v>94</v>
      </c>
      <c r="T679" s="678">
        <v>156</v>
      </c>
      <c r="U679" s="694">
        <f t="shared" si="246"/>
        <v>137292</v>
      </c>
      <c r="V679" s="698">
        <f t="shared" si="247"/>
        <v>142224</v>
      </c>
      <c r="W679" s="679"/>
      <c r="X679" s="678"/>
      <c r="Y679" s="679"/>
      <c r="Z679" s="678"/>
      <c r="AA679" s="679"/>
      <c r="AB679" s="678"/>
      <c r="AC679" s="679"/>
      <c r="AD679" s="678"/>
      <c r="AE679" s="694">
        <f t="shared" si="248"/>
        <v>0</v>
      </c>
      <c r="AF679" s="695">
        <f t="shared" si="275"/>
        <v>0</v>
      </c>
      <c r="AG679" s="696">
        <f t="shared" si="249"/>
        <v>0</v>
      </c>
      <c r="AH679" s="697">
        <f t="shared" si="276"/>
        <v>0</v>
      </c>
      <c r="AI679" s="679"/>
      <c r="AJ679" s="678"/>
      <c r="AK679" s="694">
        <f t="shared" si="250"/>
        <v>0</v>
      </c>
      <c r="AL679" s="698">
        <f t="shared" si="251"/>
        <v>0</v>
      </c>
      <c r="AM679" s="679"/>
      <c r="AN679" s="678"/>
      <c r="AO679" s="679">
        <v>1122</v>
      </c>
      <c r="AP679" s="678">
        <v>1229</v>
      </c>
      <c r="AQ679" s="679">
        <v>836</v>
      </c>
      <c r="AR679" s="678">
        <v>854</v>
      </c>
      <c r="AS679" s="679">
        <v>1066</v>
      </c>
      <c r="AT679" s="678">
        <v>1360</v>
      </c>
      <c r="AU679" s="699">
        <f t="shared" si="277"/>
        <v>3024</v>
      </c>
      <c r="AV679" s="695">
        <f t="shared" si="278"/>
        <v>126</v>
      </c>
      <c r="AW679" s="696">
        <f t="shared" si="279"/>
        <v>3443</v>
      </c>
      <c r="AX679" s="697">
        <f t="shared" si="280"/>
        <v>143.45833333333334</v>
      </c>
      <c r="AY679" s="700">
        <f t="shared" si="252"/>
        <v>4702.3999999999996</v>
      </c>
      <c r="AZ679" s="697">
        <f t="shared" si="253"/>
        <v>4884.2583333333332</v>
      </c>
      <c r="BA679" s="680"/>
    </row>
    <row r="680" spans="1:53">
      <c r="A680" s="571" t="s">
        <v>725</v>
      </c>
      <c r="B680" s="585" t="s">
        <v>887</v>
      </c>
      <c r="C680" s="576">
        <v>232566</v>
      </c>
      <c r="D680" s="574">
        <v>5</v>
      </c>
      <c r="E680" s="148" t="s">
        <v>393</v>
      </c>
      <c r="F680" s="149" t="s">
        <v>393</v>
      </c>
      <c r="G680" s="679"/>
      <c r="H680" s="678"/>
      <c r="I680" s="679">
        <v>51535</v>
      </c>
      <c r="J680" s="678">
        <v>58919</v>
      </c>
      <c r="K680" s="679">
        <v>7528</v>
      </c>
      <c r="L680" s="678">
        <v>7683</v>
      </c>
      <c r="M680" s="679">
        <v>57950</v>
      </c>
      <c r="N680" s="678">
        <v>58279</v>
      </c>
      <c r="O680" s="694">
        <f t="shared" si="244"/>
        <v>117013</v>
      </c>
      <c r="P680" s="695">
        <f t="shared" si="255"/>
        <v>3900.4333333333334</v>
      </c>
      <c r="Q680" s="696">
        <f t="shared" si="245"/>
        <v>124881</v>
      </c>
      <c r="R680" s="697">
        <f t="shared" si="274"/>
        <v>4162.7</v>
      </c>
      <c r="S680" s="679">
        <v>4</v>
      </c>
      <c r="T680" s="678">
        <v>0</v>
      </c>
      <c r="U680" s="694">
        <f t="shared" si="246"/>
        <v>117013</v>
      </c>
      <c r="V680" s="698">
        <f t="shared" si="247"/>
        <v>124881</v>
      </c>
      <c r="W680" s="679"/>
      <c r="X680" s="678"/>
      <c r="Y680" s="679"/>
      <c r="Z680" s="678"/>
      <c r="AA680" s="679"/>
      <c r="AB680" s="678"/>
      <c r="AC680" s="679"/>
      <c r="AD680" s="678"/>
      <c r="AE680" s="694">
        <f t="shared" si="248"/>
        <v>0</v>
      </c>
      <c r="AF680" s="695">
        <f t="shared" si="275"/>
        <v>0</v>
      </c>
      <c r="AG680" s="696">
        <f t="shared" si="249"/>
        <v>0</v>
      </c>
      <c r="AH680" s="697">
        <f t="shared" si="276"/>
        <v>0</v>
      </c>
      <c r="AI680" s="679"/>
      <c r="AJ680" s="678"/>
      <c r="AK680" s="694">
        <f t="shared" si="250"/>
        <v>0</v>
      </c>
      <c r="AL680" s="698">
        <f t="shared" si="251"/>
        <v>0</v>
      </c>
      <c r="AM680" s="679"/>
      <c r="AN680" s="678"/>
      <c r="AO680" s="679">
        <v>2601</v>
      </c>
      <c r="AP680" s="678">
        <v>2495</v>
      </c>
      <c r="AQ680" s="679">
        <v>3038</v>
      </c>
      <c r="AR680" s="678">
        <v>2489</v>
      </c>
      <c r="AS680" s="679">
        <v>3231</v>
      </c>
      <c r="AT680" s="678">
        <v>3120</v>
      </c>
      <c r="AU680" s="699">
        <f t="shared" si="277"/>
        <v>8870</v>
      </c>
      <c r="AV680" s="695">
        <f t="shared" si="278"/>
        <v>369.58333333333331</v>
      </c>
      <c r="AW680" s="696">
        <f t="shared" si="279"/>
        <v>8104</v>
      </c>
      <c r="AX680" s="697">
        <f t="shared" si="280"/>
        <v>337.66666666666669</v>
      </c>
      <c r="AY680" s="700">
        <f t="shared" si="252"/>
        <v>4270.0166666666664</v>
      </c>
      <c r="AZ680" s="697">
        <f t="shared" si="253"/>
        <v>4500.3666666666668</v>
      </c>
      <c r="BA680" s="680"/>
    </row>
    <row r="681" spans="1:53">
      <c r="A681" s="571" t="s">
        <v>725</v>
      </c>
      <c r="B681" s="575" t="s">
        <v>888</v>
      </c>
      <c r="C681" s="576">
        <v>232681</v>
      </c>
      <c r="D681" s="574">
        <v>5</v>
      </c>
      <c r="E681" s="148" t="s">
        <v>393</v>
      </c>
      <c r="F681" s="149" t="s">
        <v>393</v>
      </c>
      <c r="G681" s="679"/>
      <c r="H681" s="678"/>
      <c r="I681" s="679">
        <v>57069</v>
      </c>
      <c r="J681" s="678">
        <v>59348</v>
      </c>
      <c r="K681" s="679">
        <v>6087</v>
      </c>
      <c r="L681" s="678">
        <v>6402</v>
      </c>
      <c r="M681" s="679">
        <v>57059</v>
      </c>
      <c r="N681" s="678">
        <v>58430</v>
      </c>
      <c r="O681" s="694">
        <f t="shared" si="244"/>
        <v>120215</v>
      </c>
      <c r="P681" s="695">
        <f t="shared" si="255"/>
        <v>4007.1666666666665</v>
      </c>
      <c r="Q681" s="696">
        <f t="shared" si="245"/>
        <v>124180</v>
      </c>
      <c r="R681" s="697">
        <f t="shared" si="274"/>
        <v>4139.333333333333</v>
      </c>
      <c r="S681" s="679">
        <v>36</v>
      </c>
      <c r="T681" s="678">
        <v>50</v>
      </c>
      <c r="U681" s="694">
        <f t="shared" si="246"/>
        <v>120215</v>
      </c>
      <c r="V681" s="698">
        <f t="shared" si="247"/>
        <v>124180</v>
      </c>
      <c r="W681" s="679"/>
      <c r="X681" s="678"/>
      <c r="Y681" s="679"/>
      <c r="Z681" s="678"/>
      <c r="AA681" s="679"/>
      <c r="AB681" s="678"/>
      <c r="AC681" s="679"/>
      <c r="AD681" s="678"/>
      <c r="AE681" s="694">
        <f t="shared" si="248"/>
        <v>0</v>
      </c>
      <c r="AF681" s="695">
        <f t="shared" si="275"/>
        <v>0</v>
      </c>
      <c r="AG681" s="696">
        <f t="shared" si="249"/>
        <v>0</v>
      </c>
      <c r="AH681" s="697">
        <f t="shared" si="276"/>
        <v>0</v>
      </c>
      <c r="AI681" s="679"/>
      <c r="AJ681" s="678"/>
      <c r="AK681" s="694">
        <f t="shared" si="250"/>
        <v>0</v>
      </c>
      <c r="AL681" s="698">
        <f t="shared" si="251"/>
        <v>0</v>
      </c>
      <c r="AM681" s="679"/>
      <c r="AN681" s="678"/>
      <c r="AO681" s="679">
        <v>3503</v>
      </c>
      <c r="AP681" s="678">
        <v>4112</v>
      </c>
      <c r="AQ681" s="679">
        <v>2302</v>
      </c>
      <c r="AR681" s="678">
        <v>2249</v>
      </c>
      <c r="AS681" s="679">
        <v>4875</v>
      </c>
      <c r="AT681" s="678">
        <v>5483</v>
      </c>
      <c r="AU681" s="699">
        <f t="shared" si="277"/>
        <v>10680</v>
      </c>
      <c r="AV681" s="695">
        <f t="shared" si="278"/>
        <v>445</v>
      </c>
      <c r="AW681" s="696">
        <f t="shared" si="279"/>
        <v>11844</v>
      </c>
      <c r="AX681" s="697">
        <f t="shared" si="280"/>
        <v>493.5</v>
      </c>
      <c r="AY681" s="700">
        <f t="shared" si="252"/>
        <v>4452.1666666666661</v>
      </c>
      <c r="AZ681" s="697">
        <f t="shared" si="253"/>
        <v>4632.833333333333</v>
      </c>
      <c r="BA681" s="680"/>
    </row>
    <row r="682" spans="1:53">
      <c r="A682" s="571" t="s">
        <v>725</v>
      </c>
      <c r="B682" s="575" t="s">
        <v>889</v>
      </c>
      <c r="C682" s="576">
        <v>233897</v>
      </c>
      <c r="D682" s="574">
        <v>6</v>
      </c>
      <c r="E682" s="148" t="s">
        <v>393</v>
      </c>
      <c r="F682" s="149" t="s">
        <v>393</v>
      </c>
      <c r="G682" s="679"/>
      <c r="H682" s="678"/>
      <c r="I682" s="679">
        <v>21897</v>
      </c>
      <c r="J682" s="678">
        <v>24732.5</v>
      </c>
      <c r="K682" s="679">
        <v>3129</v>
      </c>
      <c r="L682" s="678">
        <v>2788</v>
      </c>
      <c r="M682" s="679">
        <v>23703</v>
      </c>
      <c r="N682" s="678">
        <v>24352</v>
      </c>
      <c r="O682" s="694">
        <f t="shared" si="244"/>
        <v>48729</v>
      </c>
      <c r="P682" s="695">
        <f t="shared" si="255"/>
        <v>1624.3</v>
      </c>
      <c r="Q682" s="696">
        <f t="shared" si="245"/>
        <v>51872.5</v>
      </c>
      <c r="R682" s="697">
        <f t="shared" si="274"/>
        <v>1729.0833333333333</v>
      </c>
      <c r="S682" s="679">
        <v>84</v>
      </c>
      <c r="T682" s="678">
        <v>142</v>
      </c>
      <c r="U682" s="694">
        <f t="shared" si="246"/>
        <v>48729</v>
      </c>
      <c r="V682" s="698">
        <f t="shared" si="247"/>
        <v>51872.5</v>
      </c>
      <c r="W682" s="679"/>
      <c r="X682" s="678"/>
      <c r="Y682" s="679"/>
      <c r="Z682" s="678"/>
      <c r="AA682" s="679"/>
      <c r="AB682" s="678"/>
      <c r="AC682" s="679"/>
      <c r="AD682" s="678"/>
      <c r="AE682" s="694">
        <f t="shared" si="248"/>
        <v>0</v>
      </c>
      <c r="AF682" s="695">
        <f t="shared" si="275"/>
        <v>0</v>
      </c>
      <c r="AG682" s="696">
        <f t="shared" si="249"/>
        <v>0</v>
      </c>
      <c r="AH682" s="697">
        <f t="shared" si="276"/>
        <v>0</v>
      </c>
      <c r="AI682" s="679"/>
      <c r="AJ682" s="678"/>
      <c r="AK682" s="694">
        <f t="shared" si="250"/>
        <v>0</v>
      </c>
      <c r="AL682" s="698">
        <f t="shared" si="251"/>
        <v>0</v>
      </c>
      <c r="AM682" s="679"/>
      <c r="AN682" s="678"/>
      <c r="AO682" s="679">
        <v>0</v>
      </c>
      <c r="AP682" s="678">
        <v>0</v>
      </c>
      <c r="AQ682" s="679">
        <v>0</v>
      </c>
      <c r="AR682" s="678">
        <v>0</v>
      </c>
      <c r="AS682" s="679">
        <v>0</v>
      </c>
      <c r="AT682" s="678">
        <v>0</v>
      </c>
      <c r="AU682" s="699">
        <f t="shared" si="277"/>
        <v>0</v>
      </c>
      <c r="AV682" s="695">
        <f t="shared" si="278"/>
        <v>0</v>
      </c>
      <c r="AW682" s="696">
        <f t="shared" si="279"/>
        <v>0</v>
      </c>
      <c r="AX682" s="697">
        <f t="shared" si="280"/>
        <v>0</v>
      </c>
      <c r="AY682" s="700">
        <f t="shared" si="252"/>
        <v>1624.3</v>
      </c>
      <c r="AZ682" s="697">
        <f t="shared" si="253"/>
        <v>1729.0833333333333</v>
      </c>
      <c r="BA682" s="680"/>
    </row>
    <row r="683" spans="1:53">
      <c r="A683" s="571" t="s">
        <v>725</v>
      </c>
      <c r="B683" s="575" t="s">
        <v>890</v>
      </c>
      <c r="C683" s="576">
        <v>232414</v>
      </c>
      <c r="D683" s="574">
        <v>8</v>
      </c>
      <c r="E683" s="148" t="s">
        <v>393</v>
      </c>
      <c r="F683" s="149" t="s">
        <v>393</v>
      </c>
      <c r="G683" s="679"/>
      <c r="H683" s="678"/>
      <c r="I683" s="679">
        <v>84335</v>
      </c>
      <c r="J683" s="678">
        <v>99470</v>
      </c>
      <c r="K683" s="679">
        <v>28496</v>
      </c>
      <c r="L683" s="678">
        <v>30658</v>
      </c>
      <c r="M683" s="679">
        <v>99537</v>
      </c>
      <c r="N683" s="678">
        <v>105206</v>
      </c>
      <c r="O683" s="694">
        <f t="shared" si="244"/>
        <v>212368</v>
      </c>
      <c r="P683" s="695">
        <f t="shared" si="255"/>
        <v>7078.9333333333334</v>
      </c>
      <c r="Q683" s="696">
        <f t="shared" si="245"/>
        <v>235334</v>
      </c>
      <c r="R683" s="697">
        <f t="shared" si="274"/>
        <v>7844.4666666666662</v>
      </c>
      <c r="S683" s="679">
        <v>20452</v>
      </c>
      <c r="T683" s="678">
        <v>26703</v>
      </c>
      <c r="U683" s="694">
        <f t="shared" si="246"/>
        <v>212368</v>
      </c>
      <c r="V683" s="698">
        <f t="shared" si="247"/>
        <v>235334</v>
      </c>
      <c r="W683" s="679"/>
      <c r="X683" s="678"/>
      <c r="Y683" s="679"/>
      <c r="Z683" s="678"/>
      <c r="AA683" s="679"/>
      <c r="AB683" s="678"/>
      <c r="AC683" s="679"/>
      <c r="AD683" s="678"/>
      <c r="AE683" s="694">
        <f t="shared" si="248"/>
        <v>0</v>
      </c>
      <c r="AF683" s="695">
        <f t="shared" si="275"/>
        <v>0</v>
      </c>
      <c r="AG683" s="696">
        <f t="shared" si="249"/>
        <v>0</v>
      </c>
      <c r="AH683" s="697">
        <f t="shared" si="276"/>
        <v>0</v>
      </c>
      <c r="AI683" s="679"/>
      <c r="AJ683" s="678"/>
      <c r="AK683" s="694">
        <f t="shared" si="250"/>
        <v>0</v>
      </c>
      <c r="AL683" s="698">
        <f t="shared" si="251"/>
        <v>0</v>
      </c>
      <c r="AM683" s="679"/>
      <c r="AN683" s="678"/>
      <c r="AO683" s="679"/>
      <c r="AP683" s="678">
        <v>0</v>
      </c>
      <c r="AQ683" s="679"/>
      <c r="AR683" s="678">
        <v>0</v>
      </c>
      <c r="AS683" s="679"/>
      <c r="AT683" s="678">
        <v>0</v>
      </c>
      <c r="AU683" s="699">
        <f t="shared" si="277"/>
        <v>0</v>
      </c>
      <c r="AV683" s="695">
        <f t="shared" si="278"/>
        <v>0</v>
      </c>
      <c r="AW683" s="696">
        <f t="shared" si="279"/>
        <v>0</v>
      </c>
      <c r="AX683" s="697">
        <f t="shared" si="280"/>
        <v>0</v>
      </c>
      <c r="AY683" s="700">
        <f t="shared" si="252"/>
        <v>7078.9333333333334</v>
      </c>
      <c r="AZ683" s="697">
        <f t="shared" si="253"/>
        <v>7844.4666666666662</v>
      </c>
      <c r="BA683" s="680"/>
    </row>
    <row r="684" spans="1:53">
      <c r="A684" s="571" t="s">
        <v>725</v>
      </c>
      <c r="B684" s="575" t="s">
        <v>891</v>
      </c>
      <c r="C684" s="576">
        <v>232946</v>
      </c>
      <c r="D684" s="574">
        <v>8</v>
      </c>
      <c r="E684" s="148" t="s">
        <v>393</v>
      </c>
      <c r="F684" s="149" t="s">
        <v>393</v>
      </c>
      <c r="G684" s="679"/>
      <c r="H684" s="678"/>
      <c r="I684" s="679">
        <v>338972</v>
      </c>
      <c r="J684" s="678">
        <v>370604</v>
      </c>
      <c r="K684" s="679">
        <v>131229</v>
      </c>
      <c r="L684" s="678">
        <v>139824</v>
      </c>
      <c r="M684" s="679">
        <v>370651</v>
      </c>
      <c r="N684" s="678">
        <v>415694</v>
      </c>
      <c r="O684" s="694">
        <f t="shared" si="244"/>
        <v>840852</v>
      </c>
      <c r="P684" s="695">
        <f t="shared" si="255"/>
        <v>28028.400000000001</v>
      </c>
      <c r="Q684" s="696">
        <f t="shared" si="245"/>
        <v>926122</v>
      </c>
      <c r="R684" s="697">
        <f t="shared" si="274"/>
        <v>30870.733333333334</v>
      </c>
      <c r="S684" s="679">
        <v>17183</v>
      </c>
      <c r="T684" s="678">
        <v>21309</v>
      </c>
      <c r="U684" s="694">
        <f t="shared" si="246"/>
        <v>840852</v>
      </c>
      <c r="V684" s="698">
        <f t="shared" si="247"/>
        <v>926122</v>
      </c>
      <c r="W684" s="679"/>
      <c r="X684" s="678"/>
      <c r="Y684" s="679"/>
      <c r="Z684" s="678"/>
      <c r="AA684" s="679"/>
      <c r="AB684" s="678"/>
      <c r="AC684" s="679"/>
      <c r="AD684" s="678"/>
      <c r="AE684" s="694">
        <f t="shared" si="248"/>
        <v>0</v>
      </c>
      <c r="AF684" s="695">
        <f t="shared" si="275"/>
        <v>0</v>
      </c>
      <c r="AG684" s="696">
        <f t="shared" si="249"/>
        <v>0</v>
      </c>
      <c r="AH684" s="697">
        <f t="shared" si="276"/>
        <v>0</v>
      </c>
      <c r="AI684" s="679"/>
      <c r="AJ684" s="678"/>
      <c r="AK684" s="694">
        <f t="shared" si="250"/>
        <v>0</v>
      </c>
      <c r="AL684" s="698">
        <f t="shared" si="251"/>
        <v>0</v>
      </c>
      <c r="AM684" s="679"/>
      <c r="AN684" s="678"/>
      <c r="AO684" s="679"/>
      <c r="AP684" s="678">
        <v>0</v>
      </c>
      <c r="AQ684" s="679"/>
      <c r="AR684" s="678">
        <v>0</v>
      </c>
      <c r="AS684" s="679"/>
      <c r="AT684" s="678">
        <v>0</v>
      </c>
      <c r="AU684" s="699">
        <f t="shared" si="277"/>
        <v>0</v>
      </c>
      <c r="AV684" s="695">
        <f t="shared" si="278"/>
        <v>0</v>
      </c>
      <c r="AW684" s="696">
        <f t="shared" si="279"/>
        <v>0</v>
      </c>
      <c r="AX684" s="697">
        <f t="shared" si="280"/>
        <v>0</v>
      </c>
      <c r="AY684" s="700">
        <f t="shared" si="252"/>
        <v>28028.400000000001</v>
      </c>
      <c r="AZ684" s="697">
        <f t="shared" si="253"/>
        <v>30870.733333333334</v>
      </c>
      <c r="BA684" s="680"/>
    </row>
    <row r="685" spans="1:53">
      <c r="A685" s="571" t="s">
        <v>725</v>
      </c>
      <c r="B685" s="575" t="s">
        <v>892</v>
      </c>
      <c r="C685" s="576">
        <v>233754</v>
      </c>
      <c r="D685" s="574">
        <v>8</v>
      </c>
      <c r="E685" s="148" t="s">
        <v>393</v>
      </c>
      <c r="F685" s="149" t="s">
        <v>393</v>
      </c>
      <c r="G685" s="679"/>
      <c r="H685" s="678"/>
      <c r="I685" s="679">
        <v>69027</v>
      </c>
      <c r="J685" s="678">
        <v>83275</v>
      </c>
      <c r="K685" s="679">
        <v>21470</v>
      </c>
      <c r="L685" s="678">
        <v>21903</v>
      </c>
      <c r="M685" s="679">
        <v>83283</v>
      </c>
      <c r="N685" s="678">
        <v>89517</v>
      </c>
      <c r="O685" s="694">
        <f t="shared" si="244"/>
        <v>173780</v>
      </c>
      <c r="P685" s="695">
        <f t="shared" si="255"/>
        <v>5792.666666666667</v>
      </c>
      <c r="Q685" s="696">
        <f t="shared" si="245"/>
        <v>194695</v>
      </c>
      <c r="R685" s="697">
        <f t="shared" si="274"/>
        <v>6489.833333333333</v>
      </c>
      <c r="S685" s="679">
        <v>12054</v>
      </c>
      <c r="T685" s="678">
        <v>17535</v>
      </c>
      <c r="U685" s="694">
        <f t="shared" si="246"/>
        <v>173780</v>
      </c>
      <c r="V685" s="698">
        <f t="shared" si="247"/>
        <v>194695</v>
      </c>
      <c r="W685" s="679"/>
      <c r="X685" s="678"/>
      <c r="Y685" s="679"/>
      <c r="Z685" s="678"/>
      <c r="AA685" s="679"/>
      <c r="AB685" s="678"/>
      <c r="AC685" s="679"/>
      <c r="AD685" s="678"/>
      <c r="AE685" s="694">
        <f t="shared" si="248"/>
        <v>0</v>
      </c>
      <c r="AF685" s="695">
        <f t="shared" si="275"/>
        <v>0</v>
      </c>
      <c r="AG685" s="696">
        <f t="shared" si="249"/>
        <v>0</v>
      </c>
      <c r="AH685" s="697">
        <f t="shared" si="276"/>
        <v>0</v>
      </c>
      <c r="AI685" s="679"/>
      <c r="AJ685" s="678"/>
      <c r="AK685" s="694">
        <f t="shared" si="250"/>
        <v>0</v>
      </c>
      <c r="AL685" s="698">
        <f t="shared" si="251"/>
        <v>0</v>
      </c>
      <c r="AM685" s="679"/>
      <c r="AN685" s="678"/>
      <c r="AO685" s="679"/>
      <c r="AP685" s="678">
        <v>0</v>
      </c>
      <c r="AQ685" s="679"/>
      <c r="AR685" s="678">
        <v>0</v>
      </c>
      <c r="AS685" s="679"/>
      <c r="AT685" s="678">
        <v>0</v>
      </c>
      <c r="AU685" s="699">
        <f t="shared" si="277"/>
        <v>0</v>
      </c>
      <c r="AV685" s="695">
        <f t="shared" si="278"/>
        <v>0</v>
      </c>
      <c r="AW685" s="696">
        <f t="shared" si="279"/>
        <v>0</v>
      </c>
      <c r="AX685" s="697">
        <f t="shared" si="280"/>
        <v>0</v>
      </c>
      <c r="AY685" s="700">
        <f t="shared" si="252"/>
        <v>5792.666666666667</v>
      </c>
      <c r="AZ685" s="697">
        <f t="shared" si="253"/>
        <v>6489.833333333333</v>
      </c>
      <c r="BA685" s="680"/>
    </row>
    <row r="686" spans="1:53">
      <c r="A686" s="571" t="s">
        <v>725</v>
      </c>
      <c r="B686" s="575" t="s">
        <v>893</v>
      </c>
      <c r="C686" s="576">
        <v>233772</v>
      </c>
      <c r="D686" s="574">
        <v>8</v>
      </c>
      <c r="E686" s="148" t="s">
        <v>393</v>
      </c>
      <c r="F686" s="149" t="s">
        <v>393</v>
      </c>
      <c r="G686" s="679"/>
      <c r="H686" s="678"/>
      <c r="I686" s="679">
        <v>216377</v>
      </c>
      <c r="J686" s="678">
        <v>235450</v>
      </c>
      <c r="K686" s="679">
        <v>74013</v>
      </c>
      <c r="L686" s="678">
        <v>77845</v>
      </c>
      <c r="M686" s="679">
        <v>235637</v>
      </c>
      <c r="N686" s="678">
        <v>277684</v>
      </c>
      <c r="O686" s="694">
        <f t="shared" si="244"/>
        <v>526027</v>
      </c>
      <c r="P686" s="695">
        <f t="shared" si="255"/>
        <v>17534.233333333334</v>
      </c>
      <c r="Q686" s="696">
        <f t="shared" si="245"/>
        <v>590979</v>
      </c>
      <c r="R686" s="697">
        <f t="shared" si="274"/>
        <v>19699.3</v>
      </c>
      <c r="S686" s="679">
        <v>11423</v>
      </c>
      <c r="T686" s="678">
        <v>18160</v>
      </c>
      <c r="U686" s="694">
        <f t="shared" si="246"/>
        <v>526027</v>
      </c>
      <c r="V686" s="698">
        <f t="shared" si="247"/>
        <v>590979</v>
      </c>
      <c r="W686" s="679"/>
      <c r="X686" s="678"/>
      <c r="Y686" s="679"/>
      <c r="Z686" s="678"/>
      <c r="AA686" s="679"/>
      <c r="AB686" s="678"/>
      <c r="AC686" s="679"/>
      <c r="AD686" s="678"/>
      <c r="AE686" s="694">
        <f t="shared" si="248"/>
        <v>0</v>
      </c>
      <c r="AF686" s="695">
        <f t="shared" si="275"/>
        <v>0</v>
      </c>
      <c r="AG686" s="696">
        <f t="shared" si="249"/>
        <v>0</v>
      </c>
      <c r="AH686" s="697">
        <f t="shared" si="276"/>
        <v>0</v>
      </c>
      <c r="AI686" s="679"/>
      <c r="AJ686" s="678"/>
      <c r="AK686" s="694">
        <f t="shared" si="250"/>
        <v>0</v>
      </c>
      <c r="AL686" s="698">
        <f t="shared" si="251"/>
        <v>0</v>
      </c>
      <c r="AM686" s="679"/>
      <c r="AN686" s="678"/>
      <c r="AO686" s="679"/>
      <c r="AP686" s="678">
        <v>0</v>
      </c>
      <c r="AQ686" s="679"/>
      <c r="AR686" s="678">
        <v>0</v>
      </c>
      <c r="AS686" s="679"/>
      <c r="AT686" s="678">
        <v>0</v>
      </c>
      <c r="AU686" s="699">
        <f t="shared" si="277"/>
        <v>0</v>
      </c>
      <c r="AV686" s="695">
        <f t="shared" si="278"/>
        <v>0</v>
      </c>
      <c r="AW686" s="696">
        <f t="shared" si="279"/>
        <v>0</v>
      </c>
      <c r="AX686" s="697">
        <f t="shared" si="280"/>
        <v>0</v>
      </c>
      <c r="AY686" s="700">
        <f t="shared" si="252"/>
        <v>17534.233333333334</v>
      </c>
      <c r="AZ686" s="697">
        <f t="shared" si="253"/>
        <v>19699.3</v>
      </c>
      <c r="BA686" s="680"/>
    </row>
    <row r="687" spans="1:53">
      <c r="A687" s="571" t="s">
        <v>725</v>
      </c>
      <c r="B687" s="575" t="s">
        <v>894</v>
      </c>
      <c r="C687" s="576">
        <v>231536</v>
      </c>
      <c r="D687" s="574">
        <v>9</v>
      </c>
      <c r="E687" s="148" t="s">
        <v>393</v>
      </c>
      <c r="F687" s="149" t="s">
        <v>393</v>
      </c>
      <c r="G687" s="679"/>
      <c r="H687" s="678"/>
      <c r="I687" s="679">
        <v>33507</v>
      </c>
      <c r="J687" s="678">
        <v>38877</v>
      </c>
      <c r="K687" s="679">
        <v>8363</v>
      </c>
      <c r="L687" s="678">
        <v>8189</v>
      </c>
      <c r="M687" s="679">
        <v>38881</v>
      </c>
      <c r="N687" s="678">
        <v>43326</v>
      </c>
      <c r="O687" s="694">
        <f t="shared" si="244"/>
        <v>80751</v>
      </c>
      <c r="P687" s="695">
        <f t="shared" si="255"/>
        <v>2691.7</v>
      </c>
      <c r="Q687" s="696">
        <f t="shared" si="245"/>
        <v>90392</v>
      </c>
      <c r="R687" s="697">
        <f t="shared" si="274"/>
        <v>3013.0666666666666</v>
      </c>
      <c r="S687" s="679">
        <v>4423</v>
      </c>
      <c r="T687" s="678">
        <v>8580</v>
      </c>
      <c r="U687" s="694">
        <f t="shared" si="246"/>
        <v>80751</v>
      </c>
      <c r="V687" s="698">
        <f t="shared" si="247"/>
        <v>90392</v>
      </c>
      <c r="W687" s="679"/>
      <c r="X687" s="678"/>
      <c r="Y687" s="679"/>
      <c r="Z687" s="678"/>
      <c r="AA687" s="679"/>
      <c r="AB687" s="678"/>
      <c r="AC687" s="679"/>
      <c r="AD687" s="678"/>
      <c r="AE687" s="694">
        <f t="shared" si="248"/>
        <v>0</v>
      </c>
      <c r="AF687" s="695">
        <f t="shared" si="275"/>
        <v>0</v>
      </c>
      <c r="AG687" s="696">
        <f t="shared" si="249"/>
        <v>0</v>
      </c>
      <c r="AH687" s="697">
        <f t="shared" si="276"/>
        <v>0</v>
      </c>
      <c r="AI687" s="679"/>
      <c r="AJ687" s="678"/>
      <c r="AK687" s="694">
        <f t="shared" si="250"/>
        <v>0</v>
      </c>
      <c r="AL687" s="698">
        <f t="shared" si="251"/>
        <v>0</v>
      </c>
      <c r="AM687" s="679"/>
      <c r="AN687" s="678"/>
      <c r="AO687" s="679"/>
      <c r="AP687" s="678">
        <v>0</v>
      </c>
      <c r="AQ687" s="679"/>
      <c r="AR687" s="678">
        <v>0</v>
      </c>
      <c r="AS687" s="679"/>
      <c r="AT687" s="678">
        <v>0</v>
      </c>
      <c r="AU687" s="699">
        <f t="shared" si="277"/>
        <v>0</v>
      </c>
      <c r="AV687" s="695">
        <f t="shared" si="278"/>
        <v>0</v>
      </c>
      <c r="AW687" s="696">
        <f t="shared" si="279"/>
        <v>0</v>
      </c>
      <c r="AX687" s="697">
        <f t="shared" si="280"/>
        <v>0</v>
      </c>
      <c r="AY687" s="700">
        <f t="shared" si="252"/>
        <v>2691.7</v>
      </c>
      <c r="AZ687" s="697">
        <f t="shared" si="253"/>
        <v>3013.0666666666666</v>
      </c>
      <c r="BA687" s="680"/>
    </row>
    <row r="688" spans="1:53">
      <c r="A688" s="571" t="s">
        <v>725</v>
      </c>
      <c r="B688" s="575" t="s">
        <v>895</v>
      </c>
      <c r="C688" s="576">
        <v>231697</v>
      </c>
      <c r="D688" s="574">
        <v>9</v>
      </c>
      <c r="E688" s="148" t="s">
        <v>393</v>
      </c>
      <c r="F688" s="149" t="s">
        <v>393</v>
      </c>
      <c r="G688" s="679"/>
      <c r="H688" s="678"/>
      <c r="I688" s="679">
        <v>30181</v>
      </c>
      <c r="J688" s="678">
        <v>37554</v>
      </c>
      <c r="K688" s="679">
        <v>8632</v>
      </c>
      <c r="L688" s="678">
        <v>8723</v>
      </c>
      <c r="M688" s="679">
        <v>37629</v>
      </c>
      <c r="N688" s="678">
        <v>41170</v>
      </c>
      <c r="O688" s="694">
        <f t="shared" si="244"/>
        <v>76442</v>
      </c>
      <c r="P688" s="695">
        <f t="shared" si="255"/>
        <v>2548.0666666666666</v>
      </c>
      <c r="Q688" s="696">
        <f t="shared" si="245"/>
        <v>87447</v>
      </c>
      <c r="R688" s="697">
        <f t="shared" si="274"/>
        <v>2914.9</v>
      </c>
      <c r="S688" s="679">
        <v>11400</v>
      </c>
      <c r="T688" s="678">
        <v>18560</v>
      </c>
      <c r="U688" s="694">
        <f t="shared" si="246"/>
        <v>76442</v>
      </c>
      <c r="V688" s="698">
        <f t="shared" si="247"/>
        <v>87447</v>
      </c>
      <c r="W688" s="679"/>
      <c r="X688" s="678"/>
      <c r="Y688" s="679"/>
      <c r="Z688" s="678"/>
      <c r="AA688" s="679"/>
      <c r="AB688" s="678"/>
      <c r="AC688" s="679"/>
      <c r="AD688" s="678"/>
      <c r="AE688" s="694">
        <f t="shared" si="248"/>
        <v>0</v>
      </c>
      <c r="AF688" s="695">
        <f t="shared" si="275"/>
        <v>0</v>
      </c>
      <c r="AG688" s="696">
        <f t="shared" si="249"/>
        <v>0</v>
      </c>
      <c r="AH688" s="697">
        <f t="shared" si="276"/>
        <v>0</v>
      </c>
      <c r="AI688" s="679"/>
      <c r="AJ688" s="678"/>
      <c r="AK688" s="694">
        <f t="shared" si="250"/>
        <v>0</v>
      </c>
      <c r="AL688" s="698">
        <f t="shared" si="251"/>
        <v>0</v>
      </c>
      <c r="AM688" s="679"/>
      <c r="AN688" s="678"/>
      <c r="AO688" s="679"/>
      <c r="AP688" s="678">
        <v>0</v>
      </c>
      <c r="AQ688" s="679"/>
      <c r="AR688" s="678">
        <v>0</v>
      </c>
      <c r="AS688" s="679"/>
      <c r="AT688" s="678">
        <v>0</v>
      </c>
      <c r="AU688" s="699">
        <f t="shared" si="277"/>
        <v>0</v>
      </c>
      <c r="AV688" s="695">
        <f t="shared" si="278"/>
        <v>0</v>
      </c>
      <c r="AW688" s="696">
        <f t="shared" si="279"/>
        <v>0</v>
      </c>
      <c r="AX688" s="697">
        <f t="shared" si="280"/>
        <v>0</v>
      </c>
      <c r="AY688" s="700">
        <f t="shared" si="252"/>
        <v>2548.0666666666666</v>
      </c>
      <c r="AZ688" s="697">
        <f t="shared" si="253"/>
        <v>2914.9</v>
      </c>
      <c r="BA688" s="680"/>
    </row>
    <row r="689" spans="1:53">
      <c r="A689" s="571" t="s">
        <v>725</v>
      </c>
      <c r="B689" s="575" t="s">
        <v>896</v>
      </c>
      <c r="C689" s="576">
        <v>231882</v>
      </c>
      <c r="D689" s="574">
        <v>9</v>
      </c>
      <c r="E689" s="148" t="s">
        <v>393</v>
      </c>
      <c r="F689" s="149" t="s">
        <v>393</v>
      </c>
      <c r="G689" s="679"/>
      <c r="H689" s="678"/>
      <c r="I689" s="679">
        <v>32490</v>
      </c>
      <c r="J689" s="678">
        <v>30777</v>
      </c>
      <c r="K689" s="679">
        <v>11254</v>
      </c>
      <c r="L689" s="678">
        <v>9870</v>
      </c>
      <c r="M689" s="679">
        <v>30798</v>
      </c>
      <c r="N689" s="678">
        <v>35273</v>
      </c>
      <c r="O689" s="694">
        <f t="shared" si="244"/>
        <v>74542</v>
      </c>
      <c r="P689" s="695">
        <f t="shared" si="255"/>
        <v>2484.7333333333331</v>
      </c>
      <c r="Q689" s="696">
        <f t="shared" si="245"/>
        <v>75920</v>
      </c>
      <c r="R689" s="697">
        <f t="shared" si="274"/>
        <v>2530.6666666666665</v>
      </c>
      <c r="S689" s="679">
        <v>12237</v>
      </c>
      <c r="T689" s="678">
        <v>18838</v>
      </c>
      <c r="U689" s="694">
        <f t="shared" si="246"/>
        <v>74542</v>
      </c>
      <c r="V689" s="698">
        <f t="shared" si="247"/>
        <v>75920</v>
      </c>
      <c r="W689" s="679"/>
      <c r="X689" s="678"/>
      <c r="Y689" s="679"/>
      <c r="Z689" s="678"/>
      <c r="AA689" s="679"/>
      <c r="AB689" s="678"/>
      <c r="AC689" s="679"/>
      <c r="AD689" s="678"/>
      <c r="AE689" s="694">
        <f t="shared" si="248"/>
        <v>0</v>
      </c>
      <c r="AF689" s="695">
        <f t="shared" si="275"/>
        <v>0</v>
      </c>
      <c r="AG689" s="696">
        <f t="shared" si="249"/>
        <v>0</v>
      </c>
      <c r="AH689" s="697">
        <f t="shared" si="276"/>
        <v>0</v>
      </c>
      <c r="AI689" s="679"/>
      <c r="AJ689" s="678"/>
      <c r="AK689" s="694">
        <f t="shared" si="250"/>
        <v>0</v>
      </c>
      <c r="AL689" s="698">
        <f t="shared" si="251"/>
        <v>0</v>
      </c>
      <c r="AM689" s="679"/>
      <c r="AN689" s="678"/>
      <c r="AO689" s="679"/>
      <c r="AP689" s="678">
        <v>0</v>
      </c>
      <c r="AQ689" s="679"/>
      <c r="AR689" s="678">
        <v>0</v>
      </c>
      <c r="AS689" s="679"/>
      <c r="AT689" s="678">
        <v>0</v>
      </c>
      <c r="AU689" s="699">
        <f t="shared" si="277"/>
        <v>0</v>
      </c>
      <c r="AV689" s="695">
        <f t="shared" si="278"/>
        <v>0</v>
      </c>
      <c r="AW689" s="696">
        <f t="shared" si="279"/>
        <v>0</v>
      </c>
      <c r="AX689" s="697">
        <f t="shared" si="280"/>
        <v>0</v>
      </c>
      <c r="AY689" s="700">
        <f t="shared" si="252"/>
        <v>2484.7333333333331</v>
      </c>
      <c r="AZ689" s="697">
        <f t="shared" si="253"/>
        <v>2530.6666666666665</v>
      </c>
      <c r="BA689" s="680"/>
    </row>
    <row r="690" spans="1:53">
      <c r="A690" s="571" t="s">
        <v>725</v>
      </c>
      <c r="B690" s="575" t="s">
        <v>897</v>
      </c>
      <c r="C690" s="576">
        <v>232195</v>
      </c>
      <c r="D690" s="574">
        <v>9</v>
      </c>
      <c r="E690" s="148" t="s">
        <v>393</v>
      </c>
      <c r="F690" s="149" t="s">
        <v>393</v>
      </c>
      <c r="G690" s="679"/>
      <c r="H690" s="678"/>
      <c r="I690" s="679">
        <v>43364</v>
      </c>
      <c r="J690" s="678">
        <v>52370</v>
      </c>
      <c r="K690" s="679">
        <v>10506</v>
      </c>
      <c r="L690" s="678">
        <v>11894</v>
      </c>
      <c r="M690" s="679">
        <v>52417</v>
      </c>
      <c r="N690" s="678">
        <v>58763</v>
      </c>
      <c r="O690" s="694">
        <f t="shared" ref="O690:O730" si="281">SUM(G690,I690,K690,M690)</f>
        <v>106287</v>
      </c>
      <c r="P690" s="695">
        <f t="shared" si="255"/>
        <v>3542.9</v>
      </c>
      <c r="Q690" s="696">
        <f t="shared" ref="Q690:Q730" si="282">SUM(H690,J690,L690,N690)</f>
        <v>123027</v>
      </c>
      <c r="R690" s="697">
        <f t="shared" si="274"/>
        <v>4100.8999999999996</v>
      </c>
      <c r="S690" s="679">
        <v>9410</v>
      </c>
      <c r="T690" s="678">
        <v>15778</v>
      </c>
      <c r="U690" s="694">
        <f t="shared" ref="U690:U730" si="283">IF(OR(ISBLANK(S690),(S690="—")),0,O690)</f>
        <v>106287</v>
      </c>
      <c r="V690" s="698">
        <f t="shared" ref="V690:V730" si="284">IF(OR(ISBLANK(T690),(T690="—")),0,Q690)</f>
        <v>123027</v>
      </c>
      <c r="W690" s="679"/>
      <c r="X690" s="678"/>
      <c r="Y690" s="679"/>
      <c r="Z690" s="678"/>
      <c r="AA690" s="679"/>
      <c r="AB690" s="678"/>
      <c r="AC690" s="679"/>
      <c r="AD690" s="678"/>
      <c r="AE690" s="694">
        <f t="shared" ref="AE690:AE730" si="285">SUM(W690,Y690,AA690,AC690)</f>
        <v>0</v>
      </c>
      <c r="AF690" s="695">
        <f t="shared" si="275"/>
        <v>0</v>
      </c>
      <c r="AG690" s="696">
        <f t="shared" ref="AG690:AG730" si="286">SUM(X690,Z690,AB690,AD690)</f>
        <v>0</v>
      </c>
      <c r="AH690" s="697">
        <f t="shared" si="276"/>
        <v>0</v>
      </c>
      <c r="AI690" s="679"/>
      <c r="AJ690" s="678"/>
      <c r="AK690" s="694">
        <f t="shared" ref="AK690:AK730" si="287">IF(OR(ISBLANK(AI690),(AI690="—")),0,AE690)</f>
        <v>0</v>
      </c>
      <c r="AL690" s="698">
        <f t="shared" ref="AL690:AL730" si="288">IF(OR(ISBLANK(AJ690),(AJ690="—")),0,AG690)</f>
        <v>0</v>
      </c>
      <c r="AM690" s="679"/>
      <c r="AN690" s="678"/>
      <c r="AO690" s="679"/>
      <c r="AP690" s="678">
        <v>0</v>
      </c>
      <c r="AQ690" s="679"/>
      <c r="AR690" s="678">
        <v>0</v>
      </c>
      <c r="AS690" s="679"/>
      <c r="AT690" s="678">
        <v>0</v>
      </c>
      <c r="AU690" s="699">
        <f t="shared" si="277"/>
        <v>0</v>
      </c>
      <c r="AV690" s="695">
        <f t="shared" si="278"/>
        <v>0</v>
      </c>
      <c r="AW690" s="696">
        <f t="shared" si="279"/>
        <v>0</v>
      </c>
      <c r="AX690" s="697">
        <f t="shared" si="280"/>
        <v>0</v>
      </c>
      <c r="AY690" s="700">
        <f t="shared" ref="AY690:AY730" si="289">SUM(P690,AF690,AV690)</f>
        <v>3542.9</v>
      </c>
      <c r="AZ690" s="697">
        <f t="shared" ref="AZ690:AZ730" si="290">SUM(R690,AH690,AX690)</f>
        <v>4100.8999999999996</v>
      </c>
      <c r="BA690" s="680"/>
    </row>
    <row r="691" spans="1:53">
      <c r="A691" s="571" t="s">
        <v>725</v>
      </c>
      <c r="B691" s="575" t="s">
        <v>898</v>
      </c>
      <c r="C691" s="576">
        <v>232450</v>
      </c>
      <c r="D691" s="574">
        <v>9</v>
      </c>
      <c r="E691" s="148" t="s">
        <v>393</v>
      </c>
      <c r="F691" s="149" t="s">
        <v>393</v>
      </c>
      <c r="G691" s="679"/>
      <c r="H691" s="678"/>
      <c r="I691" s="679">
        <v>56741</v>
      </c>
      <c r="J691" s="678">
        <v>65767</v>
      </c>
      <c r="K691" s="679">
        <v>17823</v>
      </c>
      <c r="L691" s="678">
        <v>18374</v>
      </c>
      <c r="M691" s="679">
        <v>65828</v>
      </c>
      <c r="N691" s="678">
        <v>76777</v>
      </c>
      <c r="O691" s="694">
        <f t="shared" si="281"/>
        <v>140392</v>
      </c>
      <c r="P691" s="695">
        <f t="shared" si="255"/>
        <v>4679.7333333333336</v>
      </c>
      <c r="Q691" s="696">
        <f t="shared" si="282"/>
        <v>160918</v>
      </c>
      <c r="R691" s="697">
        <f t="shared" si="274"/>
        <v>5363.9333333333334</v>
      </c>
      <c r="S691" s="679">
        <v>17805</v>
      </c>
      <c r="T691" s="678">
        <v>29960</v>
      </c>
      <c r="U691" s="694">
        <f t="shared" si="283"/>
        <v>140392</v>
      </c>
      <c r="V691" s="698">
        <f t="shared" si="284"/>
        <v>160918</v>
      </c>
      <c r="W691" s="679"/>
      <c r="X691" s="678"/>
      <c r="Y691" s="679"/>
      <c r="Z691" s="678"/>
      <c r="AA691" s="679"/>
      <c r="AB691" s="678"/>
      <c r="AC691" s="679"/>
      <c r="AD691" s="678"/>
      <c r="AE691" s="694">
        <f t="shared" si="285"/>
        <v>0</v>
      </c>
      <c r="AF691" s="695">
        <f t="shared" si="275"/>
        <v>0</v>
      </c>
      <c r="AG691" s="696">
        <f t="shared" si="286"/>
        <v>0</v>
      </c>
      <c r="AH691" s="697">
        <f t="shared" si="276"/>
        <v>0</v>
      </c>
      <c r="AI691" s="679"/>
      <c r="AJ691" s="678"/>
      <c r="AK691" s="694">
        <f t="shared" si="287"/>
        <v>0</v>
      </c>
      <c r="AL691" s="698">
        <f t="shared" si="288"/>
        <v>0</v>
      </c>
      <c r="AM691" s="679"/>
      <c r="AN691" s="678"/>
      <c r="AO691" s="679"/>
      <c r="AP691" s="678">
        <v>0</v>
      </c>
      <c r="AQ691" s="679"/>
      <c r="AR691" s="678">
        <v>0</v>
      </c>
      <c r="AS691" s="679"/>
      <c r="AT691" s="678">
        <v>0</v>
      </c>
      <c r="AU691" s="699">
        <f t="shared" si="277"/>
        <v>0</v>
      </c>
      <c r="AV691" s="695">
        <f t="shared" si="278"/>
        <v>0</v>
      </c>
      <c r="AW691" s="696">
        <f t="shared" si="279"/>
        <v>0</v>
      </c>
      <c r="AX691" s="697">
        <f t="shared" si="280"/>
        <v>0</v>
      </c>
      <c r="AY691" s="700">
        <f t="shared" si="289"/>
        <v>4679.7333333333336</v>
      </c>
      <c r="AZ691" s="697">
        <f t="shared" si="290"/>
        <v>5363.9333333333334</v>
      </c>
      <c r="BA691" s="680"/>
    </row>
    <row r="692" spans="1:53">
      <c r="A692" s="571" t="s">
        <v>725</v>
      </c>
      <c r="B692" s="575" t="s">
        <v>899</v>
      </c>
      <c r="C692" s="576">
        <v>232575</v>
      </c>
      <c r="D692" s="574">
        <v>9</v>
      </c>
      <c r="E692" s="148" t="s">
        <v>393</v>
      </c>
      <c r="F692" s="149" t="s">
        <v>393</v>
      </c>
      <c r="G692" s="679"/>
      <c r="H692" s="678"/>
      <c r="I692" s="679">
        <v>38657</v>
      </c>
      <c r="J692" s="678">
        <v>47948</v>
      </c>
      <c r="K692" s="679">
        <v>9985</v>
      </c>
      <c r="L692" s="678">
        <v>10068</v>
      </c>
      <c r="M692" s="679">
        <v>47958</v>
      </c>
      <c r="N692" s="678">
        <v>54675</v>
      </c>
      <c r="O692" s="694">
        <f t="shared" si="281"/>
        <v>96600</v>
      </c>
      <c r="P692" s="695">
        <f t="shared" si="255"/>
        <v>3220</v>
      </c>
      <c r="Q692" s="696">
        <f t="shared" si="282"/>
        <v>112691</v>
      </c>
      <c r="R692" s="697">
        <f t="shared" si="274"/>
        <v>3756.3666666666668</v>
      </c>
      <c r="S692" s="679">
        <v>15936</v>
      </c>
      <c r="T692" s="678">
        <v>25704</v>
      </c>
      <c r="U692" s="694">
        <f t="shared" si="283"/>
        <v>96600</v>
      </c>
      <c r="V692" s="698">
        <f t="shared" si="284"/>
        <v>112691</v>
      </c>
      <c r="W692" s="679"/>
      <c r="X692" s="678"/>
      <c r="Y692" s="679"/>
      <c r="Z692" s="678"/>
      <c r="AA692" s="679"/>
      <c r="AB692" s="678"/>
      <c r="AC692" s="679"/>
      <c r="AD692" s="678"/>
      <c r="AE692" s="694">
        <f t="shared" si="285"/>
        <v>0</v>
      </c>
      <c r="AF692" s="695">
        <f t="shared" si="275"/>
        <v>0</v>
      </c>
      <c r="AG692" s="696">
        <f t="shared" si="286"/>
        <v>0</v>
      </c>
      <c r="AH692" s="697">
        <f t="shared" si="276"/>
        <v>0</v>
      </c>
      <c r="AI692" s="679"/>
      <c r="AJ692" s="678"/>
      <c r="AK692" s="694">
        <f t="shared" si="287"/>
        <v>0</v>
      </c>
      <c r="AL692" s="698">
        <f t="shared" si="288"/>
        <v>0</v>
      </c>
      <c r="AM692" s="679"/>
      <c r="AN692" s="678"/>
      <c r="AO692" s="679"/>
      <c r="AP692" s="678">
        <v>0</v>
      </c>
      <c r="AQ692" s="679"/>
      <c r="AR692" s="678">
        <v>0</v>
      </c>
      <c r="AS692" s="679"/>
      <c r="AT692" s="678">
        <v>0</v>
      </c>
      <c r="AU692" s="699">
        <f t="shared" si="277"/>
        <v>0</v>
      </c>
      <c r="AV692" s="695">
        <f t="shared" si="278"/>
        <v>0</v>
      </c>
      <c r="AW692" s="696">
        <f t="shared" si="279"/>
        <v>0</v>
      </c>
      <c r="AX692" s="697">
        <f t="shared" si="280"/>
        <v>0</v>
      </c>
      <c r="AY692" s="700">
        <f t="shared" si="289"/>
        <v>3220</v>
      </c>
      <c r="AZ692" s="697">
        <f t="shared" si="290"/>
        <v>3756.3666666666668</v>
      </c>
      <c r="BA692" s="680"/>
    </row>
    <row r="693" spans="1:53">
      <c r="A693" s="571" t="s">
        <v>725</v>
      </c>
      <c r="B693" s="575" t="s">
        <v>900</v>
      </c>
      <c r="C693" s="576">
        <v>232867</v>
      </c>
      <c r="D693" s="574">
        <v>9</v>
      </c>
      <c r="E693" s="148" t="s">
        <v>393</v>
      </c>
      <c r="F693" s="149" t="s">
        <v>393</v>
      </c>
      <c r="G693" s="679"/>
      <c r="H693" s="678"/>
      <c r="I693" s="679">
        <v>37625</v>
      </c>
      <c r="J693" s="678">
        <v>40277</v>
      </c>
      <c r="K693" s="679">
        <v>8881</v>
      </c>
      <c r="L693" s="678">
        <v>9455</v>
      </c>
      <c r="M693" s="679">
        <v>40280</v>
      </c>
      <c r="N693" s="678">
        <v>45243</v>
      </c>
      <c r="O693" s="694">
        <f t="shared" si="281"/>
        <v>86786</v>
      </c>
      <c r="P693" s="695">
        <f t="shared" si="255"/>
        <v>2892.8666666666668</v>
      </c>
      <c r="Q693" s="696">
        <f t="shared" si="282"/>
        <v>94975</v>
      </c>
      <c r="R693" s="697">
        <f t="shared" si="274"/>
        <v>3165.8333333333335</v>
      </c>
      <c r="S693" s="679">
        <v>10951</v>
      </c>
      <c r="T693" s="678">
        <v>17770</v>
      </c>
      <c r="U693" s="694">
        <f t="shared" si="283"/>
        <v>86786</v>
      </c>
      <c r="V693" s="698">
        <f t="shared" si="284"/>
        <v>94975</v>
      </c>
      <c r="W693" s="679"/>
      <c r="X693" s="678"/>
      <c r="Y693" s="679"/>
      <c r="Z693" s="678"/>
      <c r="AA693" s="679"/>
      <c r="AB693" s="678"/>
      <c r="AC693" s="679"/>
      <c r="AD693" s="678"/>
      <c r="AE693" s="694">
        <f t="shared" si="285"/>
        <v>0</v>
      </c>
      <c r="AF693" s="695">
        <f t="shared" si="275"/>
        <v>0</v>
      </c>
      <c r="AG693" s="696">
        <f t="shared" si="286"/>
        <v>0</v>
      </c>
      <c r="AH693" s="697">
        <f t="shared" si="276"/>
        <v>0</v>
      </c>
      <c r="AI693" s="679"/>
      <c r="AJ693" s="678"/>
      <c r="AK693" s="694">
        <f t="shared" si="287"/>
        <v>0</v>
      </c>
      <c r="AL693" s="698">
        <f t="shared" si="288"/>
        <v>0</v>
      </c>
      <c r="AM693" s="679"/>
      <c r="AN693" s="678"/>
      <c r="AO693" s="679"/>
      <c r="AP693" s="678">
        <v>0</v>
      </c>
      <c r="AQ693" s="679"/>
      <c r="AR693" s="678">
        <v>0</v>
      </c>
      <c r="AS693" s="679"/>
      <c r="AT693" s="678">
        <v>0</v>
      </c>
      <c r="AU693" s="699">
        <f t="shared" si="277"/>
        <v>0</v>
      </c>
      <c r="AV693" s="695">
        <f t="shared" si="278"/>
        <v>0</v>
      </c>
      <c r="AW693" s="696">
        <f t="shared" si="279"/>
        <v>0</v>
      </c>
      <c r="AX693" s="697">
        <f t="shared" si="280"/>
        <v>0</v>
      </c>
      <c r="AY693" s="700">
        <f t="shared" si="289"/>
        <v>2892.8666666666668</v>
      </c>
      <c r="AZ693" s="697">
        <f t="shared" si="290"/>
        <v>3165.8333333333335</v>
      </c>
      <c r="BA693" s="680"/>
    </row>
    <row r="694" spans="1:53">
      <c r="A694" s="571" t="s">
        <v>725</v>
      </c>
      <c r="B694" s="575" t="s">
        <v>901</v>
      </c>
      <c r="C694" s="576">
        <v>233116</v>
      </c>
      <c r="D694" s="574">
        <v>9</v>
      </c>
      <c r="E694" s="148" t="s">
        <v>393</v>
      </c>
      <c r="F694" s="149" t="s">
        <v>393</v>
      </c>
      <c r="G694" s="679"/>
      <c r="H694" s="678"/>
      <c r="I694" s="679">
        <v>32017</v>
      </c>
      <c r="J694" s="678">
        <v>28919</v>
      </c>
      <c r="K694" s="679">
        <v>7398</v>
      </c>
      <c r="L694" s="678">
        <v>7433</v>
      </c>
      <c r="M694" s="679">
        <v>36683</v>
      </c>
      <c r="N694" s="678">
        <v>35576</v>
      </c>
      <c r="O694" s="694">
        <f t="shared" si="281"/>
        <v>76098</v>
      </c>
      <c r="P694" s="695">
        <f t="shared" si="255"/>
        <v>2536.6</v>
      </c>
      <c r="Q694" s="696">
        <f t="shared" si="282"/>
        <v>71928</v>
      </c>
      <c r="R694" s="697">
        <f t="shared" si="274"/>
        <v>2397.6</v>
      </c>
      <c r="S694" s="679">
        <v>11024</v>
      </c>
      <c r="T694" s="678">
        <v>19122</v>
      </c>
      <c r="U694" s="694">
        <f t="shared" si="283"/>
        <v>76098</v>
      </c>
      <c r="V694" s="698">
        <f t="shared" si="284"/>
        <v>71928</v>
      </c>
      <c r="W694" s="679"/>
      <c r="X694" s="678"/>
      <c r="Y694" s="679"/>
      <c r="Z694" s="678"/>
      <c r="AA694" s="679"/>
      <c r="AB694" s="678"/>
      <c r="AC694" s="679"/>
      <c r="AD694" s="678"/>
      <c r="AE694" s="694">
        <f t="shared" si="285"/>
        <v>0</v>
      </c>
      <c r="AF694" s="695">
        <f t="shared" si="275"/>
        <v>0</v>
      </c>
      <c r="AG694" s="696">
        <f t="shared" si="286"/>
        <v>0</v>
      </c>
      <c r="AH694" s="697">
        <f t="shared" si="276"/>
        <v>0</v>
      </c>
      <c r="AI694" s="679"/>
      <c r="AJ694" s="678"/>
      <c r="AK694" s="694">
        <f t="shared" si="287"/>
        <v>0</v>
      </c>
      <c r="AL694" s="698">
        <f t="shared" si="288"/>
        <v>0</v>
      </c>
      <c r="AM694" s="679"/>
      <c r="AN694" s="678"/>
      <c r="AO694" s="679"/>
      <c r="AP694" s="678">
        <v>0</v>
      </c>
      <c r="AQ694" s="679"/>
      <c r="AR694" s="678">
        <v>0</v>
      </c>
      <c r="AS694" s="679"/>
      <c r="AT694" s="678">
        <v>0</v>
      </c>
      <c r="AU694" s="699">
        <f t="shared" si="277"/>
        <v>0</v>
      </c>
      <c r="AV694" s="695">
        <f t="shared" si="278"/>
        <v>0</v>
      </c>
      <c r="AW694" s="696">
        <f t="shared" si="279"/>
        <v>0</v>
      </c>
      <c r="AX694" s="697">
        <f t="shared" si="280"/>
        <v>0</v>
      </c>
      <c r="AY694" s="700">
        <f t="shared" si="289"/>
        <v>2536.6</v>
      </c>
      <c r="AZ694" s="697">
        <f t="shared" si="290"/>
        <v>2397.6</v>
      </c>
      <c r="BA694" s="680"/>
    </row>
    <row r="695" spans="1:53">
      <c r="A695" s="571" t="s">
        <v>725</v>
      </c>
      <c r="B695" s="575" t="s">
        <v>902</v>
      </c>
      <c r="C695" s="576">
        <v>233639</v>
      </c>
      <c r="D695" s="574">
        <v>9</v>
      </c>
      <c r="E695" s="148" t="s">
        <v>393</v>
      </c>
      <c r="F695" s="149" t="s">
        <v>393</v>
      </c>
      <c r="G695" s="679"/>
      <c r="H695" s="678"/>
      <c r="I695" s="679">
        <v>41097</v>
      </c>
      <c r="J695" s="678">
        <v>36639</v>
      </c>
      <c r="K695" s="679">
        <v>10380</v>
      </c>
      <c r="L695" s="678">
        <v>8157</v>
      </c>
      <c r="M695" s="679">
        <v>46203</v>
      </c>
      <c r="N695" s="678">
        <v>39884</v>
      </c>
      <c r="O695" s="694">
        <f t="shared" si="281"/>
        <v>97680</v>
      </c>
      <c r="P695" s="695">
        <f t="shared" si="255"/>
        <v>3256</v>
      </c>
      <c r="Q695" s="696">
        <f t="shared" si="282"/>
        <v>84680</v>
      </c>
      <c r="R695" s="697">
        <f t="shared" si="274"/>
        <v>2822.6666666666665</v>
      </c>
      <c r="S695" s="679">
        <v>28253</v>
      </c>
      <c r="T695" s="678">
        <v>17378</v>
      </c>
      <c r="U695" s="694">
        <f t="shared" si="283"/>
        <v>97680</v>
      </c>
      <c r="V695" s="698">
        <f t="shared" si="284"/>
        <v>84680</v>
      </c>
      <c r="W695" s="679"/>
      <c r="X695" s="678"/>
      <c r="Y695" s="679"/>
      <c r="Z695" s="678"/>
      <c r="AA695" s="679"/>
      <c r="AB695" s="678"/>
      <c r="AC695" s="679"/>
      <c r="AD695" s="678"/>
      <c r="AE695" s="694">
        <f t="shared" si="285"/>
        <v>0</v>
      </c>
      <c r="AF695" s="695">
        <f t="shared" si="275"/>
        <v>0</v>
      </c>
      <c r="AG695" s="696">
        <f t="shared" si="286"/>
        <v>0</v>
      </c>
      <c r="AH695" s="697">
        <f t="shared" si="276"/>
        <v>0</v>
      </c>
      <c r="AI695" s="679"/>
      <c r="AJ695" s="678"/>
      <c r="AK695" s="694">
        <f t="shared" si="287"/>
        <v>0</v>
      </c>
      <c r="AL695" s="698">
        <f t="shared" si="288"/>
        <v>0</v>
      </c>
      <c r="AM695" s="679"/>
      <c r="AN695" s="678"/>
      <c r="AO695" s="679"/>
      <c r="AP695" s="678">
        <v>0</v>
      </c>
      <c r="AQ695" s="679"/>
      <c r="AR695" s="678">
        <v>0</v>
      </c>
      <c r="AS695" s="679"/>
      <c r="AT695" s="678">
        <v>0</v>
      </c>
      <c r="AU695" s="699">
        <f t="shared" si="277"/>
        <v>0</v>
      </c>
      <c r="AV695" s="695">
        <f t="shared" si="278"/>
        <v>0</v>
      </c>
      <c r="AW695" s="696">
        <f t="shared" si="279"/>
        <v>0</v>
      </c>
      <c r="AX695" s="697">
        <f t="shared" si="280"/>
        <v>0</v>
      </c>
      <c r="AY695" s="700">
        <f t="shared" si="289"/>
        <v>3256</v>
      </c>
      <c r="AZ695" s="697">
        <f t="shared" si="290"/>
        <v>2822.6666666666665</v>
      </c>
      <c r="BA695" s="680"/>
    </row>
    <row r="696" spans="1:53">
      <c r="A696" s="571" t="s">
        <v>725</v>
      </c>
      <c r="B696" s="575" t="s">
        <v>903</v>
      </c>
      <c r="C696" s="576">
        <v>233648</v>
      </c>
      <c r="D696" s="574">
        <v>9</v>
      </c>
      <c r="E696" s="148" t="s">
        <v>393</v>
      </c>
      <c r="F696" s="149" t="s">
        <v>393</v>
      </c>
      <c r="G696" s="679"/>
      <c r="H696" s="678"/>
      <c r="I696" s="679">
        <v>28289</v>
      </c>
      <c r="J696" s="678">
        <v>46173</v>
      </c>
      <c r="K696" s="679">
        <v>10823</v>
      </c>
      <c r="L696" s="678">
        <v>11808</v>
      </c>
      <c r="M696" s="679">
        <v>31744</v>
      </c>
      <c r="N696" s="678">
        <v>52684</v>
      </c>
      <c r="O696" s="694">
        <f t="shared" si="281"/>
        <v>70856</v>
      </c>
      <c r="P696" s="695">
        <f t="shared" si="255"/>
        <v>2361.8666666666668</v>
      </c>
      <c r="Q696" s="696">
        <f t="shared" si="282"/>
        <v>110665</v>
      </c>
      <c r="R696" s="697">
        <f t="shared" si="274"/>
        <v>3688.8333333333335</v>
      </c>
      <c r="S696" s="679">
        <v>7828</v>
      </c>
      <c r="T696" s="678">
        <v>41035</v>
      </c>
      <c r="U696" s="694">
        <f t="shared" si="283"/>
        <v>70856</v>
      </c>
      <c r="V696" s="698">
        <f t="shared" si="284"/>
        <v>110665</v>
      </c>
      <c r="W696" s="679"/>
      <c r="X696" s="678"/>
      <c r="Y696" s="679"/>
      <c r="Z696" s="678"/>
      <c r="AA696" s="679"/>
      <c r="AB696" s="678"/>
      <c r="AC696" s="679"/>
      <c r="AD696" s="678"/>
      <c r="AE696" s="694">
        <f t="shared" si="285"/>
        <v>0</v>
      </c>
      <c r="AF696" s="695">
        <f t="shared" si="275"/>
        <v>0</v>
      </c>
      <c r="AG696" s="696">
        <f t="shared" si="286"/>
        <v>0</v>
      </c>
      <c r="AH696" s="697">
        <f t="shared" si="276"/>
        <v>0</v>
      </c>
      <c r="AI696" s="679"/>
      <c r="AJ696" s="678"/>
      <c r="AK696" s="694">
        <f t="shared" si="287"/>
        <v>0</v>
      </c>
      <c r="AL696" s="698">
        <f t="shared" si="288"/>
        <v>0</v>
      </c>
      <c r="AM696" s="679"/>
      <c r="AN696" s="678"/>
      <c r="AO696" s="679"/>
      <c r="AP696" s="678">
        <v>0</v>
      </c>
      <c r="AQ696" s="679"/>
      <c r="AR696" s="678">
        <v>0</v>
      </c>
      <c r="AS696" s="679"/>
      <c r="AT696" s="678">
        <v>0</v>
      </c>
      <c r="AU696" s="699">
        <f t="shared" si="277"/>
        <v>0</v>
      </c>
      <c r="AV696" s="695">
        <f t="shared" si="278"/>
        <v>0</v>
      </c>
      <c r="AW696" s="696">
        <f t="shared" si="279"/>
        <v>0</v>
      </c>
      <c r="AX696" s="697">
        <f t="shared" si="280"/>
        <v>0</v>
      </c>
      <c r="AY696" s="700">
        <f t="shared" si="289"/>
        <v>2361.8666666666668</v>
      </c>
      <c r="AZ696" s="697">
        <f t="shared" si="290"/>
        <v>3688.8333333333335</v>
      </c>
      <c r="BA696" s="680"/>
    </row>
    <row r="697" spans="1:53">
      <c r="A697" s="571" t="s">
        <v>725</v>
      </c>
      <c r="B697" s="575" t="s">
        <v>904</v>
      </c>
      <c r="C697" s="576">
        <v>233949</v>
      </c>
      <c r="D697" s="574">
        <v>9</v>
      </c>
      <c r="E697" s="148" t="s">
        <v>393</v>
      </c>
      <c r="F697" s="149" t="s">
        <v>393</v>
      </c>
      <c r="G697" s="679"/>
      <c r="H697" s="678"/>
      <c r="I697" s="679">
        <v>55152</v>
      </c>
      <c r="J697" s="678">
        <v>31729</v>
      </c>
      <c r="K697" s="679">
        <v>14940</v>
      </c>
      <c r="L697" s="678">
        <v>10104</v>
      </c>
      <c r="M697" s="679">
        <v>62028</v>
      </c>
      <c r="N697" s="678">
        <v>34989</v>
      </c>
      <c r="O697" s="694">
        <f t="shared" si="281"/>
        <v>132120</v>
      </c>
      <c r="P697" s="695">
        <f t="shared" si="255"/>
        <v>4404</v>
      </c>
      <c r="Q697" s="696">
        <f t="shared" si="282"/>
        <v>76822</v>
      </c>
      <c r="R697" s="697">
        <f t="shared" si="274"/>
        <v>2560.7333333333331</v>
      </c>
      <c r="S697" s="679">
        <v>18001</v>
      </c>
      <c r="T697" s="678">
        <v>12933</v>
      </c>
      <c r="U697" s="694">
        <f t="shared" si="283"/>
        <v>132120</v>
      </c>
      <c r="V697" s="698">
        <f t="shared" si="284"/>
        <v>76822</v>
      </c>
      <c r="W697" s="679"/>
      <c r="X697" s="678"/>
      <c r="Y697" s="679"/>
      <c r="Z697" s="678"/>
      <c r="AA697" s="679"/>
      <c r="AB697" s="678"/>
      <c r="AC697" s="679"/>
      <c r="AD697" s="678"/>
      <c r="AE697" s="694">
        <f t="shared" si="285"/>
        <v>0</v>
      </c>
      <c r="AF697" s="695">
        <f t="shared" si="275"/>
        <v>0</v>
      </c>
      <c r="AG697" s="696">
        <f t="shared" si="286"/>
        <v>0</v>
      </c>
      <c r="AH697" s="697">
        <f t="shared" si="276"/>
        <v>0</v>
      </c>
      <c r="AI697" s="679"/>
      <c r="AJ697" s="678"/>
      <c r="AK697" s="694">
        <f t="shared" si="287"/>
        <v>0</v>
      </c>
      <c r="AL697" s="698">
        <f t="shared" si="288"/>
        <v>0</v>
      </c>
      <c r="AM697" s="679"/>
      <c r="AN697" s="678"/>
      <c r="AO697" s="679"/>
      <c r="AP697" s="678">
        <v>0</v>
      </c>
      <c r="AQ697" s="679"/>
      <c r="AR697" s="678">
        <v>0</v>
      </c>
      <c r="AS697" s="679"/>
      <c r="AT697" s="678">
        <v>0</v>
      </c>
      <c r="AU697" s="699">
        <f t="shared" si="277"/>
        <v>0</v>
      </c>
      <c r="AV697" s="695">
        <f t="shared" si="278"/>
        <v>0</v>
      </c>
      <c r="AW697" s="696">
        <f t="shared" si="279"/>
        <v>0</v>
      </c>
      <c r="AX697" s="697">
        <f t="shared" si="280"/>
        <v>0</v>
      </c>
      <c r="AY697" s="700">
        <f t="shared" si="289"/>
        <v>4404</v>
      </c>
      <c r="AZ697" s="697">
        <f t="shared" si="290"/>
        <v>2560.7333333333331</v>
      </c>
      <c r="BA697" s="680"/>
    </row>
    <row r="698" spans="1:53">
      <c r="A698" s="571" t="s">
        <v>725</v>
      </c>
      <c r="B698" s="585" t="s">
        <v>905</v>
      </c>
      <c r="C698" s="576">
        <v>231873</v>
      </c>
      <c r="D698" s="574">
        <v>10</v>
      </c>
      <c r="E698" s="148" t="s">
        <v>393</v>
      </c>
      <c r="F698" s="149" t="s">
        <v>393</v>
      </c>
      <c r="G698" s="679"/>
      <c r="H698" s="678"/>
      <c r="I698" s="679">
        <v>9627</v>
      </c>
      <c r="J698" s="678">
        <v>62011</v>
      </c>
      <c r="K698" s="679">
        <v>2559</v>
      </c>
      <c r="L698" s="678">
        <v>16071</v>
      </c>
      <c r="M698" s="679">
        <v>11023</v>
      </c>
      <c r="N698" s="678">
        <v>67092</v>
      </c>
      <c r="O698" s="694">
        <f t="shared" si="281"/>
        <v>23209</v>
      </c>
      <c r="P698" s="695">
        <f t="shared" si="255"/>
        <v>773.63333333333333</v>
      </c>
      <c r="Q698" s="696">
        <f t="shared" si="282"/>
        <v>145174</v>
      </c>
      <c r="R698" s="697">
        <f t="shared" si="274"/>
        <v>4839.1333333333332</v>
      </c>
      <c r="S698" s="679">
        <v>3823</v>
      </c>
      <c r="T698" s="678">
        <v>27620</v>
      </c>
      <c r="U698" s="694">
        <f t="shared" si="283"/>
        <v>23209</v>
      </c>
      <c r="V698" s="698">
        <f t="shared" si="284"/>
        <v>145174</v>
      </c>
      <c r="W698" s="679"/>
      <c r="X698" s="678"/>
      <c r="Y698" s="679"/>
      <c r="Z698" s="678"/>
      <c r="AA698" s="679"/>
      <c r="AB698" s="678"/>
      <c r="AC698" s="679"/>
      <c r="AD698" s="678"/>
      <c r="AE698" s="694">
        <f t="shared" si="285"/>
        <v>0</v>
      </c>
      <c r="AF698" s="695">
        <f t="shared" si="275"/>
        <v>0</v>
      </c>
      <c r="AG698" s="696">
        <f t="shared" si="286"/>
        <v>0</v>
      </c>
      <c r="AH698" s="697">
        <f t="shared" si="276"/>
        <v>0</v>
      </c>
      <c r="AI698" s="679"/>
      <c r="AJ698" s="678"/>
      <c r="AK698" s="694">
        <f t="shared" si="287"/>
        <v>0</v>
      </c>
      <c r="AL698" s="698">
        <f t="shared" si="288"/>
        <v>0</v>
      </c>
      <c r="AM698" s="679"/>
      <c r="AN698" s="678"/>
      <c r="AO698" s="679"/>
      <c r="AP698" s="678">
        <v>0</v>
      </c>
      <c r="AQ698" s="679"/>
      <c r="AR698" s="678">
        <v>0</v>
      </c>
      <c r="AS698" s="679"/>
      <c r="AT698" s="678">
        <v>0</v>
      </c>
      <c r="AU698" s="699">
        <f t="shared" si="277"/>
        <v>0</v>
      </c>
      <c r="AV698" s="695">
        <f t="shared" si="278"/>
        <v>0</v>
      </c>
      <c r="AW698" s="696">
        <f t="shared" si="279"/>
        <v>0</v>
      </c>
      <c r="AX698" s="697">
        <f t="shared" si="280"/>
        <v>0</v>
      </c>
      <c r="AY698" s="700">
        <f t="shared" si="289"/>
        <v>773.63333333333333</v>
      </c>
      <c r="AZ698" s="697">
        <f t="shared" si="290"/>
        <v>4839.1333333333332</v>
      </c>
      <c r="BA698" s="680"/>
    </row>
    <row r="699" spans="1:53">
      <c r="A699" s="571" t="s">
        <v>725</v>
      </c>
      <c r="B699" s="575" t="s">
        <v>906</v>
      </c>
      <c r="C699" s="576">
        <v>232052</v>
      </c>
      <c r="D699" s="574">
        <v>10</v>
      </c>
      <c r="E699" s="148" t="s">
        <v>393</v>
      </c>
      <c r="F699" s="149" t="s">
        <v>393</v>
      </c>
      <c r="G699" s="679"/>
      <c r="H699" s="678"/>
      <c r="I699" s="679">
        <v>7274</v>
      </c>
      <c r="J699" s="678">
        <v>11017</v>
      </c>
      <c r="K699" s="679">
        <v>1211</v>
      </c>
      <c r="L699" s="678">
        <v>2432</v>
      </c>
      <c r="M699" s="679">
        <v>7814</v>
      </c>
      <c r="N699" s="678">
        <v>12651</v>
      </c>
      <c r="O699" s="694">
        <f t="shared" si="281"/>
        <v>16299</v>
      </c>
      <c r="P699" s="695">
        <f t="shared" si="255"/>
        <v>543.29999999999995</v>
      </c>
      <c r="Q699" s="696">
        <f t="shared" si="282"/>
        <v>26100</v>
      </c>
      <c r="R699" s="697">
        <f t="shared" si="274"/>
        <v>870</v>
      </c>
      <c r="S699" s="679">
        <v>2805</v>
      </c>
      <c r="T699" s="678">
        <v>6600</v>
      </c>
      <c r="U699" s="694">
        <f t="shared" si="283"/>
        <v>16299</v>
      </c>
      <c r="V699" s="698">
        <f t="shared" si="284"/>
        <v>26100</v>
      </c>
      <c r="W699" s="679"/>
      <c r="X699" s="678"/>
      <c r="Y699" s="679"/>
      <c r="Z699" s="678"/>
      <c r="AA699" s="679"/>
      <c r="AB699" s="678"/>
      <c r="AC699" s="679"/>
      <c r="AD699" s="678"/>
      <c r="AE699" s="694">
        <f t="shared" si="285"/>
        <v>0</v>
      </c>
      <c r="AF699" s="695">
        <f t="shared" si="275"/>
        <v>0</v>
      </c>
      <c r="AG699" s="696">
        <f t="shared" si="286"/>
        <v>0</v>
      </c>
      <c r="AH699" s="697">
        <f t="shared" si="276"/>
        <v>0</v>
      </c>
      <c r="AI699" s="679"/>
      <c r="AJ699" s="678"/>
      <c r="AK699" s="694">
        <f t="shared" si="287"/>
        <v>0</v>
      </c>
      <c r="AL699" s="698">
        <f t="shared" si="288"/>
        <v>0</v>
      </c>
      <c r="AM699" s="679"/>
      <c r="AN699" s="678"/>
      <c r="AO699" s="679"/>
      <c r="AP699" s="678">
        <v>0</v>
      </c>
      <c r="AQ699" s="679"/>
      <c r="AR699" s="678">
        <v>0</v>
      </c>
      <c r="AS699" s="679"/>
      <c r="AT699" s="678">
        <v>0</v>
      </c>
      <c r="AU699" s="699">
        <f t="shared" si="277"/>
        <v>0</v>
      </c>
      <c r="AV699" s="695">
        <f t="shared" si="278"/>
        <v>0</v>
      </c>
      <c r="AW699" s="696">
        <f t="shared" si="279"/>
        <v>0</v>
      </c>
      <c r="AX699" s="697">
        <f t="shared" si="280"/>
        <v>0</v>
      </c>
      <c r="AY699" s="700">
        <f t="shared" si="289"/>
        <v>543.29999999999995</v>
      </c>
      <c r="AZ699" s="697">
        <f t="shared" si="290"/>
        <v>870</v>
      </c>
      <c r="BA699" s="680"/>
    </row>
    <row r="700" spans="1:53">
      <c r="A700" s="571" t="s">
        <v>725</v>
      </c>
      <c r="B700" s="575" t="s">
        <v>907</v>
      </c>
      <c r="C700" s="576">
        <v>232788</v>
      </c>
      <c r="D700" s="574">
        <v>10</v>
      </c>
      <c r="E700" s="148" t="s">
        <v>393</v>
      </c>
      <c r="F700" s="149" t="s">
        <v>393</v>
      </c>
      <c r="G700" s="679"/>
      <c r="H700" s="678"/>
      <c r="I700" s="679">
        <v>23143</v>
      </c>
      <c r="J700" s="678">
        <v>7814</v>
      </c>
      <c r="K700" s="679">
        <v>7842</v>
      </c>
      <c r="L700" s="678">
        <v>1376</v>
      </c>
      <c r="M700" s="679">
        <v>26837</v>
      </c>
      <c r="N700" s="678">
        <v>8774</v>
      </c>
      <c r="O700" s="694">
        <f t="shared" si="281"/>
        <v>57822</v>
      </c>
      <c r="P700" s="695">
        <f t="shared" si="255"/>
        <v>1927.4</v>
      </c>
      <c r="Q700" s="696">
        <f t="shared" si="282"/>
        <v>17964</v>
      </c>
      <c r="R700" s="697">
        <f t="shared" si="274"/>
        <v>598.79999999999995</v>
      </c>
      <c r="S700" s="679">
        <v>8822</v>
      </c>
      <c r="T700" s="678">
        <v>3874</v>
      </c>
      <c r="U700" s="694">
        <f t="shared" si="283"/>
        <v>57822</v>
      </c>
      <c r="V700" s="698">
        <f t="shared" si="284"/>
        <v>17964</v>
      </c>
      <c r="W700" s="679"/>
      <c r="X700" s="678"/>
      <c r="Y700" s="679"/>
      <c r="Z700" s="678"/>
      <c r="AA700" s="679"/>
      <c r="AB700" s="678"/>
      <c r="AC700" s="679"/>
      <c r="AD700" s="678"/>
      <c r="AE700" s="694">
        <f t="shared" si="285"/>
        <v>0</v>
      </c>
      <c r="AF700" s="695">
        <f t="shared" si="275"/>
        <v>0</v>
      </c>
      <c r="AG700" s="696">
        <f t="shared" si="286"/>
        <v>0</v>
      </c>
      <c r="AH700" s="697">
        <f t="shared" si="276"/>
        <v>0</v>
      </c>
      <c r="AI700" s="679"/>
      <c r="AJ700" s="678"/>
      <c r="AK700" s="694">
        <f t="shared" si="287"/>
        <v>0</v>
      </c>
      <c r="AL700" s="698">
        <f t="shared" si="288"/>
        <v>0</v>
      </c>
      <c r="AM700" s="679"/>
      <c r="AN700" s="678"/>
      <c r="AO700" s="679"/>
      <c r="AP700" s="678">
        <v>0</v>
      </c>
      <c r="AQ700" s="679"/>
      <c r="AR700" s="678">
        <v>0</v>
      </c>
      <c r="AS700" s="679"/>
      <c r="AT700" s="678">
        <v>0</v>
      </c>
      <c r="AU700" s="699">
        <f t="shared" si="277"/>
        <v>0</v>
      </c>
      <c r="AV700" s="695">
        <f t="shared" si="278"/>
        <v>0</v>
      </c>
      <c r="AW700" s="696">
        <f t="shared" si="279"/>
        <v>0</v>
      </c>
      <c r="AX700" s="697">
        <f t="shared" si="280"/>
        <v>0</v>
      </c>
      <c r="AY700" s="700">
        <f t="shared" si="289"/>
        <v>1927.4</v>
      </c>
      <c r="AZ700" s="697">
        <f t="shared" si="290"/>
        <v>598.79999999999995</v>
      </c>
      <c r="BA700" s="680"/>
    </row>
    <row r="701" spans="1:53">
      <c r="A701" s="571" t="s">
        <v>725</v>
      </c>
      <c r="B701" s="586" t="s">
        <v>908</v>
      </c>
      <c r="C701" s="573">
        <v>233019</v>
      </c>
      <c r="D701" s="574">
        <v>10</v>
      </c>
      <c r="E701" s="148" t="s">
        <v>393</v>
      </c>
      <c r="F701" s="149" t="s">
        <v>393</v>
      </c>
      <c r="G701" s="679"/>
      <c r="H701" s="678"/>
      <c r="I701" s="679">
        <v>24133</v>
      </c>
      <c r="J701" s="678">
        <v>26837</v>
      </c>
      <c r="K701" s="679">
        <v>6242</v>
      </c>
      <c r="L701" s="678">
        <v>7959</v>
      </c>
      <c r="M701" s="679">
        <v>28933</v>
      </c>
      <c r="N701" s="678">
        <v>30418</v>
      </c>
      <c r="O701" s="694">
        <f t="shared" si="281"/>
        <v>59308</v>
      </c>
      <c r="P701" s="695">
        <f t="shared" si="255"/>
        <v>1976.9333333333334</v>
      </c>
      <c r="Q701" s="696">
        <f t="shared" si="282"/>
        <v>65214</v>
      </c>
      <c r="R701" s="697">
        <f t="shared" si="274"/>
        <v>2173.8000000000002</v>
      </c>
      <c r="S701" s="679">
        <v>11337</v>
      </c>
      <c r="T701" s="678">
        <v>14509</v>
      </c>
      <c r="U701" s="694">
        <f t="shared" si="283"/>
        <v>59308</v>
      </c>
      <c r="V701" s="698">
        <f t="shared" si="284"/>
        <v>65214</v>
      </c>
      <c r="W701" s="679"/>
      <c r="X701" s="678"/>
      <c r="Y701" s="679"/>
      <c r="Z701" s="678"/>
      <c r="AA701" s="679"/>
      <c r="AB701" s="678"/>
      <c r="AC701" s="679"/>
      <c r="AD701" s="678"/>
      <c r="AE701" s="694">
        <f t="shared" si="285"/>
        <v>0</v>
      </c>
      <c r="AF701" s="695">
        <f t="shared" si="275"/>
        <v>0</v>
      </c>
      <c r="AG701" s="696">
        <f t="shared" si="286"/>
        <v>0</v>
      </c>
      <c r="AH701" s="697">
        <f t="shared" si="276"/>
        <v>0</v>
      </c>
      <c r="AI701" s="679"/>
      <c r="AJ701" s="678"/>
      <c r="AK701" s="694">
        <f t="shared" si="287"/>
        <v>0</v>
      </c>
      <c r="AL701" s="698">
        <f t="shared" si="288"/>
        <v>0</v>
      </c>
      <c r="AM701" s="679"/>
      <c r="AN701" s="678"/>
      <c r="AO701" s="679"/>
      <c r="AP701" s="678">
        <v>0</v>
      </c>
      <c r="AQ701" s="679"/>
      <c r="AR701" s="678">
        <v>0</v>
      </c>
      <c r="AS701" s="679"/>
      <c r="AT701" s="678">
        <v>0</v>
      </c>
      <c r="AU701" s="699">
        <f t="shared" si="277"/>
        <v>0</v>
      </c>
      <c r="AV701" s="695">
        <f t="shared" si="278"/>
        <v>0</v>
      </c>
      <c r="AW701" s="696">
        <f t="shared" si="279"/>
        <v>0</v>
      </c>
      <c r="AX701" s="697">
        <f t="shared" si="280"/>
        <v>0</v>
      </c>
      <c r="AY701" s="700">
        <f t="shared" si="289"/>
        <v>1976.9333333333334</v>
      </c>
      <c r="AZ701" s="697">
        <f t="shared" si="290"/>
        <v>2173.8000000000002</v>
      </c>
      <c r="BA701" s="680"/>
    </row>
    <row r="702" spans="1:53">
      <c r="A702" s="571" t="s">
        <v>725</v>
      </c>
      <c r="B702" s="575" t="s">
        <v>909</v>
      </c>
      <c r="C702" s="576">
        <v>233037</v>
      </c>
      <c r="D702" s="574">
        <v>10</v>
      </c>
      <c r="E702" s="148" t="s">
        <v>393</v>
      </c>
      <c r="F702" s="149" t="s">
        <v>393</v>
      </c>
      <c r="G702" s="679"/>
      <c r="H702" s="678"/>
      <c r="I702" s="679">
        <v>11134</v>
      </c>
      <c r="J702" s="678">
        <v>11795</v>
      </c>
      <c r="K702" s="679">
        <v>3511</v>
      </c>
      <c r="L702" s="678">
        <v>3890</v>
      </c>
      <c r="M702" s="679">
        <v>11795</v>
      </c>
      <c r="N702" s="678">
        <v>12357</v>
      </c>
      <c r="O702" s="694">
        <f t="shared" si="281"/>
        <v>26440</v>
      </c>
      <c r="P702" s="695">
        <f t="shared" si="255"/>
        <v>881.33333333333337</v>
      </c>
      <c r="Q702" s="696">
        <f t="shared" si="282"/>
        <v>28042</v>
      </c>
      <c r="R702" s="697">
        <f t="shared" si="274"/>
        <v>934.73333333333335</v>
      </c>
      <c r="S702" s="679">
        <v>4379</v>
      </c>
      <c r="T702" s="678">
        <v>6321</v>
      </c>
      <c r="U702" s="694">
        <f t="shared" si="283"/>
        <v>26440</v>
      </c>
      <c r="V702" s="698">
        <f t="shared" si="284"/>
        <v>28042</v>
      </c>
      <c r="W702" s="679"/>
      <c r="X702" s="678"/>
      <c r="Y702" s="679"/>
      <c r="Z702" s="678"/>
      <c r="AA702" s="679"/>
      <c r="AB702" s="678"/>
      <c r="AC702" s="679"/>
      <c r="AD702" s="678"/>
      <c r="AE702" s="694">
        <f t="shared" si="285"/>
        <v>0</v>
      </c>
      <c r="AF702" s="695">
        <f t="shared" si="275"/>
        <v>0</v>
      </c>
      <c r="AG702" s="696">
        <f t="shared" si="286"/>
        <v>0</v>
      </c>
      <c r="AH702" s="697">
        <f t="shared" si="276"/>
        <v>0</v>
      </c>
      <c r="AI702" s="679"/>
      <c r="AJ702" s="678"/>
      <c r="AK702" s="694">
        <f t="shared" si="287"/>
        <v>0</v>
      </c>
      <c r="AL702" s="698">
        <f t="shared" si="288"/>
        <v>0</v>
      </c>
      <c r="AM702" s="679"/>
      <c r="AN702" s="678"/>
      <c r="AO702" s="679"/>
      <c r="AP702" s="678">
        <v>0</v>
      </c>
      <c r="AQ702" s="679"/>
      <c r="AR702" s="678">
        <v>0</v>
      </c>
      <c r="AS702" s="679"/>
      <c r="AT702" s="678">
        <v>0</v>
      </c>
      <c r="AU702" s="699">
        <f t="shared" si="277"/>
        <v>0</v>
      </c>
      <c r="AV702" s="695">
        <f t="shared" si="278"/>
        <v>0</v>
      </c>
      <c r="AW702" s="696">
        <f t="shared" si="279"/>
        <v>0</v>
      </c>
      <c r="AX702" s="697">
        <f t="shared" si="280"/>
        <v>0</v>
      </c>
      <c r="AY702" s="700">
        <f t="shared" si="289"/>
        <v>881.33333333333337</v>
      </c>
      <c r="AZ702" s="697">
        <f t="shared" si="290"/>
        <v>934.73333333333335</v>
      </c>
      <c r="BA702" s="680"/>
    </row>
    <row r="703" spans="1:53">
      <c r="A703" s="571" t="s">
        <v>725</v>
      </c>
      <c r="B703" s="575" t="s">
        <v>910</v>
      </c>
      <c r="C703" s="576">
        <v>233310</v>
      </c>
      <c r="D703" s="574">
        <v>10</v>
      </c>
      <c r="E703" s="148" t="s">
        <v>393</v>
      </c>
      <c r="F703" s="149" t="s">
        <v>393</v>
      </c>
      <c r="G703" s="679"/>
      <c r="H703" s="678"/>
      <c r="I703" s="679">
        <v>21383</v>
      </c>
      <c r="J703" s="678">
        <v>23896</v>
      </c>
      <c r="K703" s="679">
        <v>4107</v>
      </c>
      <c r="L703" s="678">
        <v>4837</v>
      </c>
      <c r="M703" s="679">
        <v>23920</v>
      </c>
      <c r="N703" s="678">
        <v>26102</v>
      </c>
      <c r="O703" s="694">
        <f t="shared" si="281"/>
        <v>49410</v>
      </c>
      <c r="P703" s="695">
        <f t="shared" si="255"/>
        <v>1647</v>
      </c>
      <c r="Q703" s="696">
        <f t="shared" si="282"/>
        <v>54835</v>
      </c>
      <c r="R703" s="697">
        <f t="shared" si="274"/>
        <v>1827.8333333333333</v>
      </c>
      <c r="S703" s="679">
        <v>16894</v>
      </c>
      <c r="T703" s="678">
        <v>25077</v>
      </c>
      <c r="U703" s="694">
        <f t="shared" si="283"/>
        <v>49410</v>
      </c>
      <c r="V703" s="698">
        <f t="shared" si="284"/>
        <v>54835</v>
      </c>
      <c r="W703" s="679"/>
      <c r="X703" s="678"/>
      <c r="Y703" s="679"/>
      <c r="Z703" s="678"/>
      <c r="AA703" s="679"/>
      <c r="AB703" s="678"/>
      <c r="AC703" s="679"/>
      <c r="AD703" s="678"/>
      <c r="AE703" s="694">
        <f t="shared" si="285"/>
        <v>0</v>
      </c>
      <c r="AF703" s="695">
        <f t="shared" si="275"/>
        <v>0</v>
      </c>
      <c r="AG703" s="696">
        <f t="shared" si="286"/>
        <v>0</v>
      </c>
      <c r="AH703" s="697">
        <f t="shared" si="276"/>
        <v>0</v>
      </c>
      <c r="AI703" s="679"/>
      <c r="AJ703" s="678"/>
      <c r="AK703" s="694">
        <f t="shared" si="287"/>
        <v>0</v>
      </c>
      <c r="AL703" s="698">
        <f t="shared" si="288"/>
        <v>0</v>
      </c>
      <c r="AM703" s="679"/>
      <c r="AN703" s="678"/>
      <c r="AO703" s="679"/>
      <c r="AP703" s="678">
        <v>0</v>
      </c>
      <c r="AQ703" s="679"/>
      <c r="AR703" s="678">
        <v>0</v>
      </c>
      <c r="AS703" s="679"/>
      <c r="AT703" s="678">
        <v>0</v>
      </c>
      <c r="AU703" s="699">
        <f t="shared" si="277"/>
        <v>0</v>
      </c>
      <c r="AV703" s="695">
        <f t="shared" si="278"/>
        <v>0</v>
      </c>
      <c r="AW703" s="696">
        <f t="shared" si="279"/>
        <v>0</v>
      </c>
      <c r="AX703" s="697">
        <f t="shared" si="280"/>
        <v>0</v>
      </c>
      <c r="AY703" s="700">
        <f t="shared" si="289"/>
        <v>1647</v>
      </c>
      <c r="AZ703" s="697">
        <f t="shared" si="290"/>
        <v>1827.8333333333333</v>
      </c>
      <c r="BA703" s="680"/>
    </row>
    <row r="704" spans="1:53">
      <c r="A704" s="571" t="s">
        <v>725</v>
      </c>
      <c r="B704" s="575" t="s">
        <v>911</v>
      </c>
      <c r="C704" s="576">
        <v>233338</v>
      </c>
      <c r="D704" s="574">
        <v>10</v>
      </c>
      <c r="E704" s="148" t="s">
        <v>393</v>
      </c>
      <c r="F704" s="149" t="s">
        <v>393</v>
      </c>
      <c r="G704" s="679"/>
      <c r="H704" s="678"/>
      <c r="I704" s="679">
        <v>11280</v>
      </c>
      <c r="J704" s="678">
        <v>16791</v>
      </c>
      <c r="K704" s="679">
        <v>2538</v>
      </c>
      <c r="L704" s="678">
        <v>2553</v>
      </c>
      <c r="M704" s="679">
        <v>16855</v>
      </c>
      <c r="N704" s="678">
        <v>17627</v>
      </c>
      <c r="O704" s="694">
        <f t="shared" si="281"/>
        <v>30673</v>
      </c>
      <c r="P704" s="695">
        <f t="shared" si="255"/>
        <v>1022.4333333333333</v>
      </c>
      <c r="Q704" s="696">
        <f t="shared" si="282"/>
        <v>36971</v>
      </c>
      <c r="R704" s="697">
        <f t="shared" si="274"/>
        <v>1232.3666666666666</v>
      </c>
      <c r="S704" s="679">
        <v>2418</v>
      </c>
      <c r="T704" s="678">
        <v>3957</v>
      </c>
      <c r="U704" s="694">
        <f t="shared" si="283"/>
        <v>30673</v>
      </c>
      <c r="V704" s="698">
        <f t="shared" si="284"/>
        <v>36971</v>
      </c>
      <c r="W704" s="679"/>
      <c r="X704" s="678"/>
      <c r="Y704" s="679"/>
      <c r="Z704" s="678"/>
      <c r="AA704" s="679"/>
      <c r="AB704" s="678"/>
      <c r="AC704" s="679"/>
      <c r="AD704" s="678"/>
      <c r="AE704" s="694">
        <f t="shared" si="285"/>
        <v>0</v>
      </c>
      <c r="AF704" s="695">
        <f t="shared" si="275"/>
        <v>0</v>
      </c>
      <c r="AG704" s="696">
        <f t="shared" si="286"/>
        <v>0</v>
      </c>
      <c r="AH704" s="697">
        <f t="shared" si="276"/>
        <v>0</v>
      </c>
      <c r="AI704" s="679"/>
      <c r="AJ704" s="678"/>
      <c r="AK704" s="694">
        <f t="shared" si="287"/>
        <v>0</v>
      </c>
      <c r="AL704" s="698">
        <f t="shared" si="288"/>
        <v>0</v>
      </c>
      <c r="AM704" s="679"/>
      <c r="AN704" s="678"/>
      <c r="AO704" s="679"/>
      <c r="AP704" s="678">
        <v>0</v>
      </c>
      <c r="AQ704" s="679"/>
      <c r="AR704" s="678">
        <v>0</v>
      </c>
      <c r="AS704" s="679"/>
      <c r="AT704" s="678">
        <v>0</v>
      </c>
      <c r="AU704" s="699">
        <f t="shared" si="277"/>
        <v>0</v>
      </c>
      <c r="AV704" s="695">
        <f t="shared" si="278"/>
        <v>0</v>
      </c>
      <c r="AW704" s="696">
        <f t="shared" si="279"/>
        <v>0</v>
      </c>
      <c r="AX704" s="697">
        <f t="shared" si="280"/>
        <v>0</v>
      </c>
      <c r="AY704" s="700">
        <f t="shared" si="289"/>
        <v>1022.4333333333333</v>
      </c>
      <c r="AZ704" s="697">
        <f t="shared" si="290"/>
        <v>1232.3666666666666</v>
      </c>
      <c r="BA704" s="680"/>
    </row>
    <row r="705" spans="1:53">
      <c r="A705" s="571" t="s">
        <v>725</v>
      </c>
      <c r="B705" s="575" t="s">
        <v>912</v>
      </c>
      <c r="C705" s="576">
        <v>233903</v>
      </c>
      <c r="D705" s="574">
        <v>10</v>
      </c>
      <c r="E705" s="148" t="s">
        <v>393</v>
      </c>
      <c r="F705" s="149" t="s">
        <v>393</v>
      </c>
      <c r="G705" s="679"/>
      <c r="H705" s="678"/>
      <c r="I705" s="679">
        <v>18786</v>
      </c>
      <c r="J705" s="678">
        <v>22702</v>
      </c>
      <c r="K705" s="679">
        <v>5831</v>
      </c>
      <c r="L705" s="678">
        <v>5263</v>
      </c>
      <c r="M705" s="679">
        <v>22702</v>
      </c>
      <c r="N705" s="678">
        <v>26202</v>
      </c>
      <c r="O705" s="694">
        <f t="shared" si="281"/>
        <v>47319</v>
      </c>
      <c r="P705" s="695">
        <f t="shared" si="255"/>
        <v>1577.3</v>
      </c>
      <c r="Q705" s="696">
        <f t="shared" si="282"/>
        <v>54167</v>
      </c>
      <c r="R705" s="697">
        <f t="shared" si="274"/>
        <v>1805.5666666666666</v>
      </c>
      <c r="S705" s="679">
        <v>6237</v>
      </c>
      <c r="T705" s="678">
        <v>9895</v>
      </c>
      <c r="U705" s="694">
        <f t="shared" si="283"/>
        <v>47319</v>
      </c>
      <c r="V705" s="698">
        <f t="shared" si="284"/>
        <v>54167</v>
      </c>
      <c r="W705" s="679"/>
      <c r="X705" s="678"/>
      <c r="Y705" s="679"/>
      <c r="Z705" s="678"/>
      <c r="AA705" s="679"/>
      <c r="AB705" s="678"/>
      <c r="AC705" s="679"/>
      <c r="AD705" s="678"/>
      <c r="AE705" s="694">
        <f t="shared" si="285"/>
        <v>0</v>
      </c>
      <c r="AF705" s="695">
        <f t="shared" si="275"/>
        <v>0</v>
      </c>
      <c r="AG705" s="696">
        <f t="shared" si="286"/>
        <v>0</v>
      </c>
      <c r="AH705" s="697">
        <f t="shared" si="276"/>
        <v>0</v>
      </c>
      <c r="AI705" s="679"/>
      <c r="AJ705" s="678"/>
      <c r="AK705" s="694">
        <f t="shared" si="287"/>
        <v>0</v>
      </c>
      <c r="AL705" s="698">
        <f t="shared" si="288"/>
        <v>0</v>
      </c>
      <c r="AM705" s="679"/>
      <c r="AN705" s="678"/>
      <c r="AO705" s="679"/>
      <c r="AP705" s="678">
        <v>0</v>
      </c>
      <c r="AQ705" s="679"/>
      <c r="AR705" s="678">
        <v>0</v>
      </c>
      <c r="AS705" s="679"/>
      <c r="AT705" s="678">
        <v>0</v>
      </c>
      <c r="AU705" s="699">
        <f t="shared" si="277"/>
        <v>0</v>
      </c>
      <c r="AV705" s="695">
        <f t="shared" si="278"/>
        <v>0</v>
      </c>
      <c r="AW705" s="696">
        <f t="shared" si="279"/>
        <v>0</v>
      </c>
      <c r="AX705" s="697">
        <f t="shared" si="280"/>
        <v>0</v>
      </c>
      <c r="AY705" s="700">
        <f t="shared" si="289"/>
        <v>1577.3</v>
      </c>
      <c r="AZ705" s="697">
        <f t="shared" si="290"/>
        <v>1805.5666666666666</v>
      </c>
      <c r="BA705" s="680"/>
    </row>
    <row r="706" spans="1:53">
      <c r="A706" s="571" t="s">
        <v>725</v>
      </c>
      <c r="B706" s="585" t="s">
        <v>913</v>
      </c>
      <c r="C706" s="576">
        <v>234377</v>
      </c>
      <c r="D706" s="574">
        <v>10</v>
      </c>
      <c r="E706" s="148" t="s">
        <v>393</v>
      </c>
      <c r="F706" s="149" t="s">
        <v>393</v>
      </c>
      <c r="G706" s="679"/>
      <c r="H706" s="678"/>
      <c r="I706" s="679">
        <v>23199</v>
      </c>
      <c r="J706" s="678">
        <v>27401</v>
      </c>
      <c r="K706" s="679">
        <v>6948</v>
      </c>
      <c r="L706" s="678">
        <v>7025</v>
      </c>
      <c r="M706" s="679">
        <v>27404</v>
      </c>
      <c r="N706" s="678">
        <v>32478</v>
      </c>
      <c r="O706" s="694">
        <f t="shared" si="281"/>
        <v>57551</v>
      </c>
      <c r="P706" s="695">
        <f t="shared" si="255"/>
        <v>1918.3666666666666</v>
      </c>
      <c r="Q706" s="696">
        <f t="shared" si="282"/>
        <v>66904</v>
      </c>
      <c r="R706" s="697">
        <f t="shared" si="274"/>
        <v>2230.1333333333332</v>
      </c>
      <c r="S706" s="679">
        <v>11250</v>
      </c>
      <c r="T706" s="678">
        <v>17790</v>
      </c>
      <c r="U706" s="694">
        <f t="shared" si="283"/>
        <v>57551</v>
      </c>
      <c r="V706" s="698">
        <f t="shared" si="284"/>
        <v>66904</v>
      </c>
      <c r="W706" s="679"/>
      <c r="X706" s="678"/>
      <c r="Y706" s="679"/>
      <c r="Z706" s="678"/>
      <c r="AA706" s="679"/>
      <c r="AB706" s="678"/>
      <c r="AC706" s="679"/>
      <c r="AD706" s="678"/>
      <c r="AE706" s="694">
        <f t="shared" si="285"/>
        <v>0</v>
      </c>
      <c r="AF706" s="695">
        <f t="shared" si="275"/>
        <v>0</v>
      </c>
      <c r="AG706" s="696">
        <f t="shared" si="286"/>
        <v>0</v>
      </c>
      <c r="AH706" s="697">
        <f t="shared" si="276"/>
        <v>0</v>
      </c>
      <c r="AI706" s="679"/>
      <c r="AJ706" s="678"/>
      <c r="AK706" s="694">
        <f t="shared" si="287"/>
        <v>0</v>
      </c>
      <c r="AL706" s="698">
        <f t="shared" si="288"/>
        <v>0</v>
      </c>
      <c r="AM706" s="679"/>
      <c r="AN706" s="678"/>
      <c r="AO706" s="679"/>
      <c r="AP706" s="678">
        <v>0</v>
      </c>
      <c r="AQ706" s="679"/>
      <c r="AR706" s="678">
        <v>0</v>
      </c>
      <c r="AS706" s="679"/>
      <c r="AT706" s="678">
        <v>0</v>
      </c>
      <c r="AU706" s="699">
        <f t="shared" si="277"/>
        <v>0</v>
      </c>
      <c r="AV706" s="695">
        <f t="shared" si="278"/>
        <v>0</v>
      </c>
      <c r="AW706" s="696">
        <f t="shared" si="279"/>
        <v>0</v>
      </c>
      <c r="AX706" s="697">
        <f t="shared" si="280"/>
        <v>0</v>
      </c>
      <c r="AY706" s="700">
        <f t="shared" si="289"/>
        <v>1918.3666666666666</v>
      </c>
      <c r="AZ706" s="697">
        <f t="shared" si="290"/>
        <v>2230.1333333333332</v>
      </c>
      <c r="BA706" s="680"/>
    </row>
    <row r="707" spans="1:53" s="742" customFormat="1">
      <c r="A707" s="729"/>
      <c r="B707" s="730"/>
      <c r="C707" s="731"/>
      <c r="D707" s="732"/>
      <c r="E707" s="733"/>
      <c r="F707" s="734"/>
      <c r="G707" s="701"/>
      <c r="H707" s="702"/>
      <c r="I707" s="701"/>
      <c r="J707" s="702">
        <f>SUM(J669:J706)</f>
        <v>3579093.5</v>
      </c>
      <c r="K707" s="701"/>
      <c r="L707" s="702">
        <f>SUM(L669:L706)</f>
        <v>712869.5</v>
      </c>
      <c r="M707" s="701"/>
      <c r="N707" s="702">
        <f>SUM(N669:N706)</f>
        <v>3809788</v>
      </c>
      <c r="O707" s="701"/>
      <c r="P707" s="735"/>
      <c r="Q707" s="736"/>
      <c r="R707" s="737"/>
      <c r="S707" s="701"/>
      <c r="T707" s="702"/>
      <c r="U707" s="701"/>
      <c r="V707" s="738"/>
      <c r="W707" s="701"/>
      <c r="X707" s="702"/>
      <c r="Y707" s="701"/>
      <c r="Z707" s="702"/>
      <c r="AA707" s="701"/>
      <c r="AB707" s="702"/>
      <c r="AC707" s="701"/>
      <c r="AD707" s="702"/>
      <c r="AE707" s="701"/>
      <c r="AF707" s="735"/>
      <c r="AG707" s="736"/>
      <c r="AH707" s="737"/>
      <c r="AI707" s="701"/>
      <c r="AJ707" s="702"/>
      <c r="AK707" s="701"/>
      <c r="AL707" s="738"/>
      <c r="AM707" s="701"/>
      <c r="AN707" s="702"/>
      <c r="AO707" s="701"/>
      <c r="AP707" s="702">
        <f>SUM(AP669:AP706)</f>
        <v>384823</v>
      </c>
      <c r="AQ707" s="701"/>
      <c r="AR707" s="702">
        <f>SUM(AR669:AR706)</f>
        <v>109209</v>
      </c>
      <c r="AS707" s="701"/>
      <c r="AT707" s="702">
        <f>SUM(AT669:AT706)</f>
        <v>400059</v>
      </c>
      <c r="AU707" s="739"/>
      <c r="AV707" s="735"/>
      <c r="AW707" s="736"/>
      <c r="AX707" s="737"/>
      <c r="AY707" s="740"/>
      <c r="AZ707" s="737"/>
      <c r="BA707" s="741"/>
    </row>
    <row r="708" spans="1:53" s="581" customFormat="1">
      <c r="A708" s="577" t="s">
        <v>725</v>
      </c>
      <c r="B708" s="577" t="s">
        <v>914</v>
      </c>
      <c r="C708" s="578">
        <v>233338</v>
      </c>
      <c r="D708" s="579" t="s">
        <v>726</v>
      </c>
      <c r="E708" s="560" t="s">
        <v>393</v>
      </c>
      <c r="F708" s="580" t="s">
        <v>393</v>
      </c>
      <c r="G708" s="717">
        <v>0</v>
      </c>
      <c r="H708" s="678">
        <v>0</v>
      </c>
      <c r="I708" s="717">
        <v>11280</v>
      </c>
      <c r="J708" s="678">
        <v>0</v>
      </c>
      <c r="K708" s="717">
        <v>2538</v>
      </c>
      <c r="L708" s="678">
        <v>0</v>
      </c>
      <c r="M708" s="717">
        <v>16855</v>
      </c>
      <c r="N708" s="678">
        <v>0</v>
      </c>
      <c r="O708" s="718">
        <f t="shared" si="281"/>
        <v>30673</v>
      </c>
      <c r="P708" s="719">
        <f t="shared" si="255"/>
        <v>1022.4333333333333</v>
      </c>
      <c r="Q708" s="720">
        <f t="shared" si="282"/>
        <v>0</v>
      </c>
      <c r="R708" s="721">
        <f t="shared" si="238"/>
        <v>0</v>
      </c>
      <c r="S708" s="717">
        <v>2418</v>
      </c>
      <c r="T708" s="678">
        <v>0</v>
      </c>
      <c r="U708" s="694">
        <f t="shared" si="283"/>
        <v>30673</v>
      </c>
      <c r="V708" s="698">
        <f t="shared" si="284"/>
        <v>0</v>
      </c>
      <c r="W708" s="717"/>
      <c r="X708" s="678"/>
      <c r="Y708" s="717"/>
      <c r="Z708" s="678"/>
      <c r="AA708" s="717"/>
      <c r="AB708" s="678"/>
      <c r="AC708" s="717"/>
      <c r="AD708" s="678"/>
      <c r="AE708" s="718">
        <f t="shared" si="285"/>
        <v>0</v>
      </c>
      <c r="AF708" s="719">
        <f t="shared" si="239"/>
        <v>0</v>
      </c>
      <c r="AG708" s="720">
        <f t="shared" si="286"/>
        <v>0</v>
      </c>
      <c r="AH708" s="721">
        <f t="shared" si="240"/>
        <v>0</v>
      </c>
      <c r="AI708" s="717"/>
      <c r="AJ708" s="678"/>
      <c r="AK708" s="694">
        <f t="shared" si="287"/>
        <v>0</v>
      </c>
      <c r="AL708" s="698">
        <f t="shared" si="288"/>
        <v>0</v>
      </c>
      <c r="AM708" s="717"/>
      <c r="AN708" s="678"/>
      <c r="AO708" s="717"/>
      <c r="AP708" s="678">
        <v>0</v>
      </c>
      <c r="AQ708" s="717"/>
      <c r="AR708" s="678">
        <v>0</v>
      </c>
      <c r="AS708" s="717"/>
      <c r="AT708" s="678">
        <v>0</v>
      </c>
      <c r="AU708" s="722">
        <f t="shared" si="241"/>
        <v>0</v>
      </c>
      <c r="AV708" s="719">
        <f t="shared" si="254"/>
        <v>0</v>
      </c>
      <c r="AW708" s="720">
        <f t="shared" si="242"/>
        <v>0</v>
      </c>
      <c r="AX708" s="721">
        <f t="shared" si="243"/>
        <v>0</v>
      </c>
      <c r="AY708" s="723">
        <f t="shared" si="289"/>
        <v>1022.4333333333333</v>
      </c>
      <c r="AZ708" s="721">
        <f t="shared" si="290"/>
        <v>0</v>
      </c>
      <c r="BA708" s="725"/>
    </row>
    <row r="709" spans="1:53" s="581" customFormat="1">
      <c r="A709" s="577" t="s">
        <v>725</v>
      </c>
      <c r="B709" s="577" t="s">
        <v>915</v>
      </c>
      <c r="C709" s="578"/>
      <c r="D709" s="579" t="s">
        <v>604</v>
      </c>
      <c r="E709" s="560" t="s">
        <v>393</v>
      </c>
      <c r="F709" s="580" t="s">
        <v>393</v>
      </c>
      <c r="G709" s="717">
        <v>0</v>
      </c>
      <c r="H709" s="678">
        <v>0</v>
      </c>
      <c r="I709" s="717">
        <v>1192175</v>
      </c>
      <c r="J709" s="678">
        <v>0</v>
      </c>
      <c r="K709" s="717">
        <v>383948</v>
      </c>
      <c r="L709" s="678">
        <v>0</v>
      </c>
      <c r="M709" s="717">
        <v>1340448</v>
      </c>
      <c r="N709" s="678">
        <v>0</v>
      </c>
      <c r="O709" s="718">
        <f t="shared" si="281"/>
        <v>2916571</v>
      </c>
      <c r="P709" s="719">
        <f t="shared" si="255"/>
        <v>97219.03333333334</v>
      </c>
      <c r="Q709" s="720">
        <f t="shared" si="282"/>
        <v>0</v>
      </c>
      <c r="R709" s="721">
        <f t="shared" si="238"/>
        <v>0</v>
      </c>
      <c r="S709" s="717">
        <v>253475</v>
      </c>
      <c r="T709" s="678">
        <v>0</v>
      </c>
      <c r="U709" s="694">
        <f t="shared" si="283"/>
        <v>2916571</v>
      </c>
      <c r="V709" s="698">
        <f t="shared" si="284"/>
        <v>0</v>
      </c>
      <c r="W709" s="717"/>
      <c r="X709" s="678"/>
      <c r="Y709" s="717"/>
      <c r="Z709" s="678"/>
      <c r="AA709" s="717"/>
      <c r="AB709" s="678"/>
      <c r="AC709" s="717"/>
      <c r="AD709" s="678"/>
      <c r="AE709" s="718">
        <f t="shared" si="285"/>
        <v>0</v>
      </c>
      <c r="AF709" s="719">
        <f t="shared" si="239"/>
        <v>0</v>
      </c>
      <c r="AG709" s="720">
        <f t="shared" si="286"/>
        <v>0</v>
      </c>
      <c r="AH709" s="721">
        <f t="shared" si="240"/>
        <v>0</v>
      </c>
      <c r="AI709" s="717"/>
      <c r="AJ709" s="678"/>
      <c r="AK709" s="694">
        <f t="shared" si="287"/>
        <v>0</v>
      </c>
      <c r="AL709" s="698">
        <f t="shared" si="288"/>
        <v>0</v>
      </c>
      <c r="AM709" s="717"/>
      <c r="AN709" s="678"/>
      <c r="AO709" s="717"/>
      <c r="AP709" s="678"/>
      <c r="AQ709" s="717"/>
      <c r="AR709" s="678"/>
      <c r="AS709" s="717"/>
      <c r="AT709" s="678"/>
      <c r="AU709" s="722">
        <f t="shared" si="241"/>
        <v>0</v>
      </c>
      <c r="AV709" s="719">
        <f t="shared" si="254"/>
        <v>0</v>
      </c>
      <c r="AW709" s="720">
        <f t="shared" si="242"/>
        <v>0</v>
      </c>
      <c r="AX709" s="721">
        <f t="shared" si="243"/>
        <v>0</v>
      </c>
      <c r="AY709" s="723">
        <f t="shared" si="289"/>
        <v>97219.03333333334</v>
      </c>
      <c r="AZ709" s="721">
        <f t="shared" si="290"/>
        <v>0</v>
      </c>
      <c r="BA709" s="725"/>
    </row>
    <row r="710" spans="1:53">
      <c r="A710" s="520" t="s">
        <v>706</v>
      </c>
      <c r="B710" s="291" t="s">
        <v>707</v>
      </c>
      <c r="C710" s="521">
        <v>238032</v>
      </c>
      <c r="D710" s="156">
        <v>1</v>
      </c>
      <c r="E710" s="148" t="s">
        <v>393</v>
      </c>
      <c r="F710" s="483" t="s">
        <v>393</v>
      </c>
      <c r="G710" s="679"/>
      <c r="H710" s="678"/>
      <c r="I710" s="679">
        <v>278416</v>
      </c>
      <c r="J710" s="678">
        <v>288220</v>
      </c>
      <c r="K710" s="679">
        <v>37075</v>
      </c>
      <c r="L710" s="678">
        <v>37502</v>
      </c>
      <c r="M710" s="679">
        <v>313368</v>
      </c>
      <c r="N710" s="678">
        <v>310511</v>
      </c>
      <c r="O710" s="694">
        <f t="shared" si="281"/>
        <v>628859</v>
      </c>
      <c r="P710" s="695">
        <f t="shared" si="255"/>
        <v>20961.966666666667</v>
      </c>
      <c r="Q710" s="696">
        <f t="shared" si="282"/>
        <v>636233</v>
      </c>
      <c r="R710" s="697">
        <f t="shared" si="238"/>
        <v>21207.766666666666</v>
      </c>
      <c r="S710" s="679">
        <v>2593</v>
      </c>
      <c r="T710" s="678">
        <v>2634</v>
      </c>
      <c r="U710" s="694">
        <f t="shared" si="283"/>
        <v>628859</v>
      </c>
      <c r="V710" s="698">
        <f t="shared" si="284"/>
        <v>636233</v>
      </c>
      <c r="W710" s="679"/>
      <c r="X710" s="678"/>
      <c r="Y710" s="679"/>
      <c r="Z710" s="678"/>
      <c r="AA710" s="679"/>
      <c r="AB710" s="678"/>
      <c r="AC710" s="679"/>
      <c r="AD710" s="678"/>
      <c r="AE710" s="694">
        <f t="shared" si="285"/>
        <v>0</v>
      </c>
      <c r="AF710" s="695">
        <f t="shared" si="239"/>
        <v>0</v>
      </c>
      <c r="AG710" s="696">
        <f t="shared" si="286"/>
        <v>0</v>
      </c>
      <c r="AH710" s="697">
        <f t="shared" si="240"/>
        <v>0</v>
      </c>
      <c r="AI710" s="679"/>
      <c r="AJ710" s="678"/>
      <c r="AK710" s="694">
        <f t="shared" si="287"/>
        <v>0</v>
      </c>
      <c r="AL710" s="698">
        <f t="shared" si="288"/>
        <v>0</v>
      </c>
      <c r="AM710" s="679"/>
      <c r="AN710" s="678"/>
      <c r="AO710" s="679">
        <v>48495</v>
      </c>
      <c r="AP710" s="678">
        <v>48625</v>
      </c>
      <c r="AQ710" s="679">
        <v>21320</v>
      </c>
      <c r="AR710" s="678">
        <v>21271</v>
      </c>
      <c r="AS710" s="679">
        <v>48666</v>
      </c>
      <c r="AT710" s="678">
        <v>49849</v>
      </c>
      <c r="AU710" s="699">
        <f t="shared" si="241"/>
        <v>118481</v>
      </c>
      <c r="AV710" s="695">
        <f t="shared" si="254"/>
        <v>4936.708333333333</v>
      </c>
      <c r="AW710" s="696">
        <f t="shared" si="242"/>
        <v>119745</v>
      </c>
      <c r="AX710" s="697">
        <f t="shared" si="243"/>
        <v>4989.375</v>
      </c>
      <c r="AY710" s="700">
        <f t="shared" si="289"/>
        <v>25898.674999999999</v>
      </c>
      <c r="AZ710" s="697">
        <f t="shared" si="290"/>
        <v>26197.141666666666</v>
      </c>
      <c r="BA710" s="680"/>
    </row>
    <row r="711" spans="1:53">
      <c r="A711" s="520" t="s">
        <v>706</v>
      </c>
      <c r="B711" s="291" t="s">
        <v>708</v>
      </c>
      <c r="C711" s="521">
        <v>237525</v>
      </c>
      <c r="D711" s="156">
        <v>3</v>
      </c>
      <c r="E711" s="148" t="s">
        <v>393</v>
      </c>
      <c r="F711" s="483" t="s">
        <v>393</v>
      </c>
      <c r="G711" s="679"/>
      <c r="H711" s="678"/>
      <c r="I711" s="679">
        <v>111321</v>
      </c>
      <c r="J711" s="678">
        <v>109531</v>
      </c>
      <c r="K711" s="679">
        <v>17215</v>
      </c>
      <c r="L711" s="678">
        <v>17228</v>
      </c>
      <c r="M711" s="679">
        <v>119271</v>
      </c>
      <c r="N711" s="678">
        <v>124052</v>
      </c>
      <c r="O711" s="694">
        <f t="shared" si="281"/>
        <v>247807</v>
      </c>
      <c r="P711" s="695">
        <f t="shared" si="255"/>
        <v>8260.2333333333336</v>
      </c>
      <c r="Q711" s="696">
        <f t="shared" si="282"/>
        <v>250811</v>
      </c>
      <c r="R711" s="697">
        <f t="shared" si="238"/>
        <v>8360.3666666666668</v>
      </c>
      <c r="S711" s="679">
        <v>3836</v>
      </c>
      <c r="T711" s="678">
        <v>3664</v>
      </c>
      <c r="U711" s="694">
        <f t="shared" si="283"/>
        <v>247807</v>
      </c>
      <c r="V711" s="698">
        <f t="shared" si="284"/>
        <v>250811</v>
      </c>
      <c r="W711" s="679"/>
      <c r="X711" s="678"/>
      <c r="Y711" s="679"/>
      <c r="Z711" s="678"/>
      <c r="AA711" s="679"/>
      <c r="AB711" s="678"/>
      <c r="AC711" s="679"/>
      <c r="AD711" s="678"/>
      <c r="AE711" s="694">
        <f t="shared" si="285"/>
        <v>0</v>
      </c>
      <c r="AF711" s="695">
        <f t="shared" si="239"/>
        <v>0</v>
      </c>
      <c r="AG711" s="696">
        <f t="shared" si="286"/>
        <v>0</v>
      </c>
      <c r="AH711" s="697">
        <f t="shared" si="240"/>
        <v>0</v>
      </c>
      <c r="AI711" s="679"/>
      <c r="AJ711" s="678"/>
      <c r="AK711" s="694">
        <f t="shared" si="287"/>
        <v>0</v>
      </c>
      <c r="AL711" s="698">
        <f t="shared" si="288"/>
        <v>0</v>
      </c>
      <c r="AM711" s="679"/>
      <c r="AN711" s="678"/>
      <c r="AO711" s="679">
        <v>23746</v>
      </c>
      <c r="AP711" s="678">
        <v>23851</v>
      </c>
      <c r="AQ711" s="679">
        <v>13848</v>
      </c>
      <c r="AR711" s="678">
        <v>12711</v>
      </c>
      <c r="AS711" s="679">
        <v>24089</v>
      </c>
      <c r="AT711" s="678">
        <v>26715</v>
      </c>
      <c r="AU711" s="699">
        <f t="shared" si="241"/>
        <v>61683</v>
      </c>
      <c r="AV711" s="695">
        <f t="shared" si="254"/>
        <v>2570.125</v>
      </c>
      <c r="AW711" s="696">
        <f t="shared" si="242"/>
        <v>63277</v>
      </c>
      <c r="AX711" s="697">
        <f t="shared" si="243"/>
        <v>2636.5416666666665</v>
      </c>
      <c r="AY711" s="700">
        <f t="shared" si="289"/>
        <v>10830.358333333334</v>
      </c>
      <c r="AZ711" s="697">
        <f t="shared" si="290"/>
        <v>10996.908333333333</v>
      </c>
      <c r="BA711" s="680"/>
    </row>
    <row r="712" spans="1:53">
      <c r="A712" s="520" t="s">
        <v>706</v>
      </c>
      <c r="B712" s="566" t="s">
        <v>711</v>
      </c>
      <c r="C712" s="567">
        <v>237367</v>
      </c>
      <c r="D712" s="568">
        <v>5</v>
      </c>
      <c r="E712" s="148" t="s">
        <v>393</v>
      </c>
      <c r="F712" s="483" t="s">
        <v>393</v>
      </c>
      <c r="G712" s="679"/>
      <c r="H712" s="678"/>
      <c r="I712" s="679">
        <v>51333</v>
      </c>
      <c r="J712" s="678">
        <v>52239</v>
      </c>
      <c r="K712" s="679">
        <v>5816</v>
      </c>
      <c r="L712" s="678">
        <v>5356</v>
      </c>
      <c r="M712" s="679">
        <v>56121</v>
      </c>
      <c r="N712" s="678">
        <v>57683</v>
      </c>
      <c r="O712" s="694">
        <f t="shared" si="281"/>
        <v>113270</v>
      </c>
      <c r="P712" s="695">
        <f t="shared" si="255"/>
        <v>3775.6666666666665</v>
      </c>
      <c r="Q712" s="696">
        <f t="shared" si="282"/>
        <v>115278</v>
      </c>
      <c r="R712" s="697">
        <f t="shared" si="238"/>
        <v>3842.6</v>
      </c>
      <c r="S712" s="679">
        <v>0</v>
      </c>
      <c r="T712" s="678">
        <v>0</v>
      </c>
      <c r="U712" s="694">
        <f t="shared" si="283"/>
        <v>113270</v>
      </c>
      <c r="V712" s="698">
        <f t="shared" si="284"/>
        <v>115278</v>
      </c>
      <c r="W712" s="679"/>
      <c r="X712" s="678"/>
      <c r="Y712" s="679"/>
      <c r="Z712" s="678"/>
      <c r="AA712" s="679"/>
      <c r="AB712" s="678"/>
      <c r="AC712" s="679"/>
      <c r="AD712" s="678"/>
      <c r="AE712" s="694">
        <f t="shared" si="285"/>
        <v>0</v>
      </c>
      <c r="AF712" s="695">
        <f t="shared" si="239"/>
        <v>0</v>
      </c>
      <c r="AG712" s="696">
        <f t="shared" si="286"/>
        <v>0</v>
      </c>
      <c r="AH712" s="697">
        <f t="shared" si="240"/>
        <v>0</v>
      </c>
      <c r="AI712" s="679"/>
      <c r="AJ712" s="678"/>
      <c r="AK712" s="694">
        <f t="shared" si="287"/>
        <v>0</v>
      </c>
      <c r="AL712" s="698">
        <f t="shared" si="288"/>
        <v>0</v>
      </c>
      <c r="AM712" s="679"/>
      <c r="AN712" s="678"/>
      <c r="AO712" s="679">
        <v>2481</v>
      </c>
      <c r="AP712" s="678">
        <v>2435</v>
      </c>
      <c r="AQ712" s="679">
        <v>1261</v>
      </c>
      <c r="AR712" s="678">
        <v>1080</v>
      </c>
      <c r="AS712" s="679">
        <v>2760</v>
      </c>
      <c r="AT712" s="678">
        <v>2287</v>
      </c>
      <c r="AU712" s="699">
        <f t="shared" si="241"/>
        <v>6502</v>
      </c>
      <c r="AV712" s="695">
        <f t="shared" si="254"/>
        <v>270.91666666666669</v>
      </c>
      <c r="AW712" s="696">
        <f t="shared" si="242"/>
        <v>5802</v>
      </c>
      <c r="AX712" s="697">
        <f t="shared" si="243"/>
        <v>241.75</v>
      </c>
      <c r="AY712" s="700">
        <f t="shared" si="289"/>
        <v>4046.583333333333</v>
      </c>
      <c r="AZ712" s="697">
        <f t="shared" si="290"/>
        <v>4084.35</v>
      </c>
      <c r="BA712" s="680"/>
    </row>
    <row r="713" spans="1:53">
      <c r="A713" s="520" t="s">
        <v>706</v>
      </c>
      <c r="B713" s="291" t="s">
        <v>709</v>
      </c>
      <c r="C713" s="521">
        <v>237215</v>
      </c>
      <c r="D713" s="156">
        <v>6</v>
      </c>
      <c r="E713" s="148" t="s">
        <v>393</v>
      </c>
      <c r="F713" s="483" t="s">
        <v>393</v>
      </c>
      <c r="G713" s="679"/>
      <c r="H713" s="678"/>
      <c r="I713" s="679">
        <v>22844</v>
      </c>
      <c r="J713" s="678">
        <v>24466</v>
      </c>
      <c r="K713" s="679">
        <v>2987</v>
      </c>
      <c r="L713" s="678">
        <v>3560</v>
      </c>
      <c r="M713" s="679">
        <v>24932</v>
      </c>
      <c r="N713" s="678">
        <v>26258</v>
      </c>
      <c r="O713" s="694">
        <f t="shared" si="281"/>
        <v>50763</v>
      </c>
      <c r="P713" s="695">
        <f t="shared" si="255"/>
        <v>1692.1</v>
      </c>
      <c r="Q713" s="696">
        <f t="shared" si="282"/>
        <v>54284</v>
      </c>
      <c r="R713" s="697">
        <f t="shared" si="238"/>
        <v>1809.4666666666667</v>
      </c>
      <c r="S713" s="679">
        <v>464</v>
      </c>
      <c r="T713" s="678">
        <v>317</v>
      </c>
      <c r="U713" s="694">
        <f t="shared" si="283"/>
        <v>50763</v>
      </c>
      <c r="V713" s="698">
        <f t="shared" si="284"/>
        <v>54284</v>
      </c>
      <c r="W713" s="679"/>
      <c r="X713" s="678"/>
      <c r="Y713" s="679"/>
      <c r="Z713" s="678"/>
      <c r="AA713" s="679"/>
      <c r="AB713" s="678"/>
      <c r="AC713" s="679"/>
      <c r="AD713" s="678"/>
      <c r="AE713" s="694">
        <f t="shared" si="285"/>
        <v>0</v>
      </c>
      <c r="AF713" s="695">
        <f t="shared" si="239"/>
        <v>0</v>
      </c>
      <c r="AG713" s="696">
        <f t="shared" si="286"/>
        <v>0</v>
      </c>
      <c r="AH713" s="697">
        <f t="shared" si="240"/>
        <v>0</v>
      </c>
      <c r="AI713" s="679"/>
      <c r="AJ713" s="678"/>
      <c r="AK713" s="694">
        <f t="shared" si="287"/>
        <v>0</v>
      </c>
      <c r="AL713" s="698">
        <f t="shared" si="288"/>
        <v>0</v>
      </c>
      <c r="AM713" s="679"/>
      <c r="AN713" s="678"/>
      <c r="AO713" s="679"/>
      <c r="AP713" s="678"/>
      <c r="AQ713" s="679"/>
      <c r="AR713" s="678"/>
      <c r="AS713" s="679"/>
      <c r="AT713" s="678"/>
      <c r="AU713" s="699">
        <f t="shared" si="241"/>
        <v>0</v>
      </c>
      <c r="AV713" s="695">
        <f t="shared" si="254"/>
        <v>0</v>
      </c>
      <c r="AW713" s="696">
        <f t="shared" si="242"/>
        <v>0</v>
      </c>
      <c r="AX713" s="697">
        <f t="shared" si="243"/>
        <v>0</v>
      </c>
      <c r="AY713" s="700">
        <f t="shared" si="289"/>
        <v>1692.1</v>
      </c>
      <c r="AZ713" s="697">
        <f t="shared" si="290"/>
        <v>1809.4666666666667</v>
      </c>
      <c r="BA713" s="680"/>
    </row>
    <row r="714" spans="1:53">
      <c r="A714" s="520" t="s">
        <v>706</v>
      </c>
      <c r="B714" s="291" t="s">
        <v>710</v>
      </c>
      <c r="C714" s="521">
        <v>237330</v>
      </c>
      <c r="D714" s="156">
        <v>6</v>
      </c>
      <c r="E714" s="148" t="s">
        <v>393</v>
      </c>
      <c r="F714" s="483" t="s">
        <v>393</v>
      </c>
      <c r="G714" s="679"/>
      <c r="H714" s="678"/>
      <c r="I714" s="679">
        <v>35189</v>
      </c>
      <c r="J714" s="678">
        <v>36554</v>
      </c>
      <c r="K714" s="679">
        <v>3493</v>
      </c>
      <c r="L714" s="678">
        <v>3450</v>
      </c>
      <c r="M714" s="679">
        <v>40012</v>
      </c>
      <c r="N714" s="678">
        <v>39969</v>
      </c>
      <c r="O714" s="694">
        <f t="shared" si="281"/>
        <v>78694</v>
      </c>
      <c r="P714" s="695">
        <f t="shared" si="255"/>
        <v>2623.1333333333332</v>
      </c>
      <c r="Q714" s="696">
        <f t="shared" si="282"/>
        <v>79973</v>
      </c>
      <c r="R714" s="697">
        <f t="shared" si="238"/>
        <v>2665.7666666666669</v>
      </c>
      <c r="S714" s="679">
        <v>1246</v>
      </c>
      <c r="T714" s="678">
        <v>991</v>
      </c>
      <c r="U714" s="694">
        <f t="shared" si="283"/>
        <v>78694</v>
      </c>
      <c r="V714" s="698">
        <f t="shared" si="284"/>
        <v>79973</v>
      </c>
      <c r="W714" s="679"/>
      <c r="X714" s="678"/>
      <c r="Y714" s="679"/>
      <c r="Z714" s="678"/>
      <c r="AA714" s="679"/>
      <c r="AB714" s="678"/>
      <c r="AC714" s="679"/>
      <c r="AD714" s="678"/>
      <c r="AE714" s="694">
        <f t="shared" si="285"/>
        <v>0</v>
      </c>
      <c r="AF714" s="695">
        <f t="shared" si="239"/>
        <v>0</v>
      </c>
      <c r="AG714" s="696">
        <f t="shared" si="286"/>
        <v>0</v>
      </c>
      <c r="AH714" s="697">
        <f t="shared" si="240"/>
        <v>0</v>
      </c>
      <c r="AI714" s="679"/>
      <c r="AJ714" s="678"/>
      <c r="AK714" s="694">
        <f t="shared" si="287"/>
        <v>0</v>
      </c>
      <c r="AL714" s="698">
        <f t="shared" si="288"/>
        <v>0</v>
      </c>
      <c r="AM714" s="679"/>
      <c r="AN714" s="678"/>
      <c r="AO714" s="679">
        <v>474</v>
      </c>
      <c r="AP714" s="678">
        <v>730</v>
      </c>
      <c r="AQ714" s="679">
        <v>300</v>
      </c>
      <c r="AR714" s="678">
        <v>429</v>
      </c>
      <c r="AS714" s="679">
        <v>518</v>
      </c>
      <c r="AT714" s="678">
        <v>1269</v>
      </c>
      <c r="AU714" s="699">
        <f t="shared" si="241"/>
        <v>1292</v>
      </c>
      <c r="AV714" s="695">
        <f t="shared" si="254"/>
        <v>53.833333333333336</v>
      </c>
      <c r="AW714" s="696">
        <f t="shared" si="242"/>
        <v>2428</v>
      </c>
      <c r="AX714" s="697">
        <f t="shared" si="243"/>
        <v>101.16666666666667</v>
      </c>
      <c r="AY714" s="700">
        <f t="shared" si="289"/>
        <v>2676.9666666666667</v>
      </c>
      <c r="AZ714" s="697">
        <f t="shared" si="290"/>
        <v>2766.9333333333334</v>
      </c>
      <c r="BA714" s="680"/>
    </row>
    <row r="715" spans="1:53">
      <c r="A715" s="520" t="s">
        <v>706</v>
      </c>
      <c r="B715" s="291" t="s">
        <v>712</v>
      </c>
      <c r="C715" s="521">
        <v>237385</v>
      </c>
      <c r="D715" s="156">
        <v>6</v>
      </c>
      <c r="E715" s="148" t="s">
        <v>393</v>
      </c>
      <c r="F715" s="483" t="s">
        <v>393</v>
      </c>
      <c r="G715" s="679"/>
      <c r="H715" s="678"/>
      <c r="I715" s="679">
        <v>16592</v>
      </c>
      <c r="J715" s="678">
        <v>17537</v>
      </c>
      <c r="K715" s="679">
        <v>1763</v>
      </c>
      <c r="L715" s="678">
        <v>2173</v>
      </c>
      <c r="M715" s="679">
        <v>18979.099999999999</v>
      </c>
      <c r="N715" s="678">
        <v>20401</v>
      </c>
      <c r="O715" s="694">
        <f t="shared" si="281"/>
        <v>37334.1</v>
      </c>
      <c r="P715" s="695">
        <f t="shared" si="255"/>
        <v>1244.47</v>
      </c>
      <c r="Q715" s="696">
        <f t="shared" si="282"/>
        <v>40111</v>
      </c>
      <c r="R715" s="697">
        <f t="shared" si="238"/>
        <v>1337.0333333333333</v>
      </c>
      <c r="S715" s="679">
        <v>900</v>
      </c>
      <c r="T715" s="678">
        <v>1342</v>
      </c>
      <c r="U715" s="694">
        <f t="shared" si="283"/>
        <v>37334.1</v>
      </c>
      <c r="V715" s="698">
        <f t="shared" si="284"/>
        <v>40111</v>
      </c>
      <c r="W715" s="679"/>
      <c r="X715" s="678"/>
      <c r="Y715" s="679"/>
      <c r="Z715" s="678"/>
      <c r="AA715" s="679"/>
      <c r="AB715" s="678"/>
      <c r="AC715" s="679"/>
      <c r="AD715" s="678"/>
      <c r="AE715" s="694">
        <f t="shared" si="285"/>
        <v>0</v>
      </c>
      <c r="AF715" s="695">
        <f t="shared" si="239"/>
        <v>0</v>
      </c>
      <c r="AG715" s="696">
        <f t="shared" si="286"/>
        <v>0</v>
      </c>
      <c r="AH715" s="697">
        <f t="shared" si="240"/>
        <v>0</v>
      </c>
      <c r="AI715" s="679"/>
      <c r="AJ715" s="678"/>
      <c r="AK715" s="694">
        <f t="shared" si="287"/>
        <v>0</v>
      </c>
      <c r="AL715" s="698">
        <f t="shared" si="288"/>
        <v>0</v>
      </c>
      <c r="AM715" s="679"/>
      <c r="AN715" s="678"/>
      <c r="AO715" s="679"/>
      <c r="AP715" s="678"/>
      <c r="AQ715" s="679"/>
      <c r="AR715" s="678"/>
      <c r="AS715" s="679"/>
      <c r="AT715" s="678"/>
      <c r="AU715" s="699">
        <f t="shared" si="241"/>
        <v>0</v>
      </c>
      <c r="AV715" s="695">
        <f t="shared" si="254"/>
        <v>0</v>
      </c>
      <c r="AW715" s="696">
        <f t="shared" si="242"/>
        <v>0</v>
      </c>
      <c r="AX715" s="697">
        <f t="shared" si="243"/>
        <v>0</v>
      </c>
      <c r="AY715" s="700">
        <f t="shared" si="289"/>
        <v>1244.47</v>
      </c>
      <c r="AZ715" s="697">
        <f t="shared" si="290"/>
        <v>1337.0333333333333</v>
      </c>
      <c r="BA715" s="680"/>
    </row>
    <row r="716" spans="1:53">
      <c r="A716" s="520" t="s">
        <v>706</v>
      </c>
      <c r="B716" s="291" t="s">
        <v>713</v>
      </c>
      <c r="C716" s="521">
        <v>237792</v>
      </c>
      <c r="D716" s="156">
        <v>6</v>
      </c>
      <c r="E716" s="148" t="s">
        <v>393</v>
      </c>
      <c r="F716" s="483" t="s">
        <v>393</v>
      </c>
      <c r="G716" s="679"/>
      <c r="H716" s="678"/>
      <c r="I716" s="679">
        <v>47511.5</v>
      </c>
      <c r="J716" s="678">
        <v>49161</v>
      </c>
      <c r="K716" s="679">
        <v>4534</v>
      </c>
      <c r="L716" s="678">
        <v>4752</v>
      </c>
      <c r="M716" s="679">
        <v>52917.5</v>
      </c>
      <c r="N716" s="678">
        <v>55175.5</v>
      </c>
      <c r="O716" s="694">
        <f t="shared" si="281"/>
        <v>104963</v>
      </c>
      <c r="P716" s="695">
        <f t="shared" si="255"/>
        <v>3498.7666666666669</v>
      </c>
      <c r="Q716" s="696">
        <f t="shared" si="282"/>
        <v>109088.5</v>
      </c>
      <c r="R716" s="697">
        <f t="shared" si="238"/>
        <v>3636.2833333333333</v>
      </c>
      <c r="S716" s="679">
        <v>98</v>
      </c>
      <c r="T716" s="678">
        <v>104</v>
      </c>
      <c r="U716" s="694">
        <f t="shared" si="283"/>
        <v>104963</v>
      </c>
      <c r="V716" s="698">
        <f t="shared" si="284"/>
        <v>109088.5</v>
      </c>
      <c r="W716" s="679"/>
      <c r="X716" s="678"/>
      <c r="Y716" s="679"/>
      <c r="Z716" s="678"/>
      <c r="AA716" s="679"/>
      <c r="AB716" s="678"/>
      <c r="AC716" s="679"/>
      <c r="AD716" s="678"/>
      <c r="AE716" s="694">
        <f t="shared" si="285"/>
        <v>0</v>
      </c>
      <c r="AF716" s="695">
        <f t="shared" si="239"/>
        <v>0</v>
      </c>
      <c r="AG716" s="696">
        <f t="shared" si="286"/>
        <v>0</v>
      </c>
      <c r="AH716" s="697">
        <f t="shared" si="240"/>
        <v>0</v>
      </c>
      <c r="AI716" s="679"/>
      <c r="AJ716" s="678"/>
      <c r="AK716" s="694">
        <f t="shared" si="287"/>
        <v>0</v>
      </c>
      <c r="AL716" s="698">
        <f t="shared" si="288"/>
        <v>0</v>
      </c>
      <c r="AM716" s="679"/>
      <c r="AN716" s="678"/>
      <c r="AO716" s="679">
        <v>858</v>
      </c>
      <c r="AP716" s="678">
        <v>850</v>
      </c>
      <c r="AQ716" s="679">
        <v>404</v>
      </c>
      <c r="AR716" s="678">
        <v>394</v>
      </c>
      <c r="AS716" s="679">
        <v>858</v>
      </c>
      <c r="AT716" s="678">
        <v>948</v>
      </c>
      <c r="AU716" s="699">
        <f t="shared" si="241"/>
        <v>2120</v>
      </c>
      <c r="AV716" s="695">
        <f t="shared" si="254"/>
        <v>88.333333333333329</v>
      </c>
      <c r="AW716" s="696">
        <f t="shared" si="242"/>
        <v>2192</v>
      </c>
      <c r="AX716" s="697">
        <f t="shared" si="243"/>
        <v>91.333333333333329</v>
      </c>
      <c r="AY716" s="700">
        <f t="shared" si="289"/>
        <v>3587.1000000000004</v>
      </c>
      <c r="AZ716" s="697">
        <f t="shared" si="290"/>
        <v>3727.6166666666668</v>
      </c>
      <c r="BA716" s="680"/>
    </row>
    <row r="717" spans="1:53">
      <c r="A717" s="520" t="s">
        <v>706</v>
      </c>
      <c r="B717" s="298" t="s">
        <v>56</v>
      </c>
      <c r="C717" s="521">
        <v>237932</v>
      </c>
      <c r="D717" s="156">
        <v>6</v>
      </c>
      <c r="E717" s="148" t="s">
        <v>393</v>
      </c>
      <c r="F717" s="483" t="s">
        <v>393</v>
      </c>
      <c r="G717" s="679"/>
      <c r="H717" s="678"/>
      <c r="I717" s="679">
        <v>30946</v>
      </c>
      <c r="J717" s="678">
        <v>32861</v>
      </c>
      <c r="K717" s="679">
        <v>1511</v>
      </c>
      <c r="L717" s="678">
        <v>1432</v>
      </c>
      <c r="M717" s="679">
        <v>36122</v>
      </c>
      <c r="N717" s="678">
        <v>37927</v>
      </c>
      <c r="O717" s="694">
        <f t="shared" si="281"/>
        <v>68579</v>
      </c>
      <c r="P717" s="695">
        <f t="shared" si="255"/>
        <v>2285.9666666666667</v>
      </c>
      <c r="Q717" s="696">
        <f t="shared" si="282"/>
        <v>72220</v>
      </c>
      <c r="R717" s="697">
        <f t="shared" si="238"/>
        <v>2407.3333333333335</v>
      </c>
      <c r="S717" s="679">
        <v>1213</v>
      </c>
      <c r="T717" s="678">
        <v>1105</v>
      </c>
      <c r="U717" s="694">
        <f t="shared" si="283"/>
        <v>68579</v>
      </c>
      <c r="V717" s="698">
        <f t="shared" si="284"/>
        <v>72220</v>
      </c>
      <c r="W717" s="679"/>
      <c r="X717" s="678"/>
      <c r="Y717" s="679"/>
      <c r="Z717" s="678"/>
      <c r="AA717" s="679"/>
      <c r="AB717" s="678"/>
      <c r="AC717" s="679"/>
      <c r="AD717" s="678"/>
      <c r="AE717" s="694">
        <f t="shared" si="285"/>
        <v>0</v>
      </c>
      <c r="AF717" s="695">
        <f t="shared" si="239"/>
        <v>0</v>
      </c>
      <c r="AG717" s="696">
        <f t="shared" si="286"/>
        <v>0</v>
      </c>
      <c r="AH717" s="697">
        <f t="shared" si="240"/>
        <v>0</v>
      </c>
      <c r="AI717" s="679"/>
      <c r="AJ717" s="678"/>
      <c r="AK717" s="694">
        <f t="shared" si="287"/>
        <v>0</v>
      </c>
      <c r="AL717" s="698">
        <f t="shared" si="288"/>
        <v>0</v>
      </c>
      <c r="AM717" s="679"/>
      <c r="AN717" s="678"/>
      <c r="AO717" s="679">
        <v>15</v>
      </c>
      <c r="AP717" s="678">
        <v>159</v>
      </c>
      <c r="AQ717" s="679"/>
      <c r="AR717" s="678">
        <v>159</v>
      </c>
      <c r="AS717" s="679">
        <v>48</v>
      </c>
      <c r="AT717" s="678">
        <v>297</v>
      </c>
      <c r="AU717" s="699">
        <f t="shared" si="241"/>
        <v>63</v>
      </c>
      <c r="AV717" s="695">
        <f t="shared" si="254"/>
        <v>2.625</v>
      </c>
      <c r="AW717" s="696">
        <f t="shared" si="242"/>
        <v>615</v>
      </c>
      <c r="AX717" s="697">
        <f t="shared" si="243"/>
        <v>25.625</v>
      </c>
      <c r="AY717" s="700">
        <f t="shared" si="289"/>
        <v>2288.5916666666667</v>
      </c>
      <c r="AZ717" s="697">
        <f t="shared" si="290"/>
        <v>2432.9583333333335</v>
      </c>
      <c r="BA717" s="680"/>
    </row>
    <row r="718" spans="1:53">
      <c r="A718" s="520" t="s">
        <v>706</v>
      </c>
      <c r="B718" s="291" t="s">
        <v>714</v>
      </c>
      <c r="C718" s="521">
        <v>237899</v>
      </c>
      <c r="D718" s="156">
        <v>6</v>
      </c>
      <c r="E718" s="148" t="s">
        <v>393</v>
      </c>
      <c r="F718" s="483" t="s">
        <v>393</v>
      </c>
      <c r="G718" s="679"/>
      <c r="H718" s="678"/>
      <c r="I718" s="679">
        <v>34776</v>
      </c>
      <c r="J718" s="678">
        <v>32902</v>
      </c>
      <c r="K718" s="679">
        <v>2617</v>
      </c>
      <c r="L718" s="678">
        <v>2950</v>
      </c>
      <c r="M718" s="679">
        <v>35261</v>
      </c>
      <c r="N718" s="678">
        <v>40030</v>
      </c>
      <c r="O718" s="694">
        <f t="shared" si="281"/>
        <v>72654</v>
      </c>
      <c r="P718" s="695">
        <f t="shared" si="255"/>
        <v>2421.8000000000002</v>
      </c>
      <c r="Q718" s="696">
        <f t="shared" si="282"/>
        <v>75882</v>
      </c>
      <c r="R718" s="697">
        <f t="shared" si="238"/>
        <v>2529.4</v>
      </c>
      <c r="S718" s="679">
        <v>3358</v>
      </c>
      <c r="T718" s="678">
        <v>3080</v>
      </c>
      <c r="U718" s="694">
        <f t="shared" si="283"/>
        <v>72654</v>
      </c>
      <c r="V718" s="698">
        <f t="shared" si="284"/>
        <v>75882</v>
      </c>
      <c r="W718" s="679"/>
      <c r="X718" s="678"/>
      <c r="Y718" s="679"/>
      <c r="Z718" s="678"/>
      <c r="AA718" s="679"/>
      <c r="AB718" s="678"/>
      <c r="AC718" s="679"/>
      <c r="AD718" s="678"/>
      <c r="AE718" s="694">
        <f t="shared" si="285"/>
        <v>0</v>
      </c>
      <c r="AF718" s="695">
        <f t="shared" si="239"/>
        <v>0</v>
      </c>
      <c r="AG718" s="696">
        <f t="shared" si="286"/>
        <v>0</v>
      </c>
      <c r="AH718" s="697">
        <f t="shared" si="240"/>
        <v>0</v>
      </c>
      <c r="AI718" s="679"/>
      <c r="AJ718" s="678"/>
      <c r="AK718" s="694">
        <f t="shared" si="287"/>
        <v>0</v>
      </c>
      <c r="AL718" s="698">
        <f t="shared" si="288"/>
        <v>0</v>
      </c>
      <c r="AM718" s="679"/>
      <c r="AN718" s="678"/>
      <c r="AO718" s="679">
        <v>311</v>
      </c>
      <c r="AP718" s="678">
        <v>328</v>
      </c>
      <c r="AQ718" s="679">
        <v>12</v>
      </c>
      <c r="AR718" s="678">
        <v>22</v>
      </c>
      <c r="AS718" s="679">
        <v>322</v>
      </c>
      <c r="AT718" s="678">
        <v>335</v>
      </c>
      <c r="AU718" s="699">
        <f t="shared" si="241"/>
        <v>645</v>
      </c>
      <c r="AV718" s="695">
        <f t="shared" si="254"/>
        <v>26.875</v>
      </c>
      <c r="AW718" s="696">
        <f t="shared" si="242"/>
        <v>685</v>
      </c>
      <c r="AX718" s="697">
        <f t="shared" si="243"/>
        <v>28.541666666666668</v>
      </c>
      <c r="AY718" s="700">
        <f t="shared" si="289"/>
        <v>2448.6750000000002</v>
      </c>
      <c r="AZ718" s="697">
        <f t="shared" si="290"/>
        <v>2557.9416666666666</v>
      </c>
      <c r="BA718" s="680"/>
    </row>
    <row r="719" spans="1:53">
      <c r="A719" s="520" t="s">
        <v>706</v>
      </c>
      <c r="B719" s="298" t="s">
        <v>715</v>
      </c>
      <c r="C719" s="521">
        <v>237950</v>
      </c>
      <c r="D719" s="156">
        <v>6</v>
      </c>
      <c r="E719" s="148" t="s">
        <v>393</v>
      </c>
      <c r="F719" s="483" t="s">
        <v>393</v>
      </c>
      <c r="G719" s="679"/>
      <c r="H719" s="678"/>
      <c r="I719" s="679">
        <v>16454</v>
      </c>
      <c r="J719" s="678">
        <v>13954</v>
      </c>
      <c r="K719" s="679">
        <v>990</v>
      </c>
      <c r="L719" s="678">
        <v>857</v>
      </c>
      <c r="M719" s="679">
        <v>15655</v>
      </c>
      <c r="N719" s="678">
        <v>16805</v>
      </c>
      <c r="O719" s="694">
        <f t="shared" si="281"/>
        <v>33099</v>
      </c>
      <c r="P719" s="695">
        <f t="shared" si="255"/>
        <v>1103.3</v>
      </c>
      <c r="Q719" s="696">
        <f t="shared" si="282"/>
        <v>31616</v>
      </c>
      <c r="R719" s="697">
        <f t="shared" si="238"/>
        <v>1053.8666666666666</v>
      </c>
      <c r="S719" s="679">
        <v>773</v>
      </c>
      <c r="T719" s="678">
        <v>537</v>
      </c>
      <c r="U719" s="694">
        <f t="shared" si="283"/>
        <v>33099</v>
      </c>
      <c r="V719" s="698">
        <f t="shared" si="284"/>
        <v>31616</v>
      </c>
      <c r="W719" s="679"/>
      <c r="X719" s="678"/>
      <c r="Y719" s="679"/>
      <c r="Z719" s="678"/>
      <c r="AA719" s="679"/>
      <c r="AB719" s="678"/>
      <c r="AC719" s="679"/>
      <c r="AD719" s="678"/>
      <c r="AE719" s="694">
        <f t="shared" si="285"/>
        <v>0</v>
      </c>
      <c r="AF719" s="695">
        <f t="shared" si="239"/>
        <v>0</v>
      </c>
      <c r="AG719" s="696">
        <f t="shared" si="286"/>
        <v>0</v>
      </c>
      <c r="AH719" s="697">
        <f t="shared" si="240"/>
        <v>0</v>
      </c>
      <c r="AI719" s="679"/>
      <c r="AJ719" s="678"/>
      <c r="AK719" s="694">
        <f t="shared" si="287"/>
        <v>0</v>
      </c>
      <c r="AL719" s="698">
        <f t="shared" si="288"/>
        <v>0</v>
      </c>
      <c r="AM719" s="679"/>
      <c r="AN719" s="678"/>
      <c r="AO719" s="679">
        <v>2</v>
      </c>
      <c r="AP719" s="678"/>
      <c r="AQ719" s="679"/>
      <c r="AR719" s="678"/>
      <c r="AS719" s="679"/>
      <c r="AT719" s="678">
        <v>0</v>
      </c>
      <c r="AU719" s="699">
        <f t="shared" si="241"/>
        <v>2</v>
      </c>
      <c r="AV719" s="695">
        <f t="shared" si="254"/>
        <v>8.3333333333333329E-2</v>
      </c>
      <c r="AW719" s="696">
        <f t="shared" si="242"/>
        <v>0</v>
      </c>
      <c r="AX719" s="697">
        <f t="shared" si="243"/>
        <v>0</v>
      </c>
      <c r="AY719" s="700">
        <f t="shared" si="289"/>
        <v>1103.3833333333332</v>
      </c>
      <c r="AZ719" s="697">
        <f t="shared" si="290"/>
        <v>1053.8666666666666</v>
      </c>
      <c r="BA719" s="680"/>
    </row>
    <row r="720" spans="1:53">
      <c r="A720" s="520" t="s">
        <v>706</v>
      </c>
      <c r="B720" s="569" t="s">
        <v>722</v>
      </c>
      <c r="C720" s="567">
        <v>237701</v>
      </c>
      <c r="D720" s="568">
        <v>7</v>
      </c>
      <c r="E720" s="148" t="s">
        <v>393</v>
      </c>
      <c r="F720" s="483" t="s">
        <v>393</v>
      </c>
      <c r="G720" s="679"/>
      <c r="H720" s="678"/>
      <c r="I720" s="679">
        <v>16557</v>
      </c>
      <c r="J720" s="678">
        <v>17062</v>
      </c>
      <c r="K720" s="679">
        <v>988</v>
      </c>
      <c r="L720" s="678">
        <v>1367</v>
      </c>
      <c r="M720" s="679">
        <v>18725</v>
      </c>
      <c r="N720" s="678">
        <v>22116</v>
      </c>
      <c r="O720" s="694">
        <f t="shared" si="281"/>
        <v>36270</v>
      </c>
      <c r="P720" s="695">
        <f t="shared" ref="P720:P730" si="291">+O720/30</f>
        <v>1209</v>
      </c>
      <c r="Q720" s="696">
        <f t="shared" si="282"/>
        <v>40545</v>
      </c>
      <c r="R720" s="697">
        <f t="shared" ref="R720:R730" si="292">+Q720/30</f>
        <v>1351.5</v>
      </c>
      <c r="S720" s="679">
        <v>2852</v>
      </c>
      <c r="T720" s="678">
        <v>2887</v>
      </c>
      <c r="U720" s="694">
        <f t="shared" si="283"/>
        <v>36270</v>
      </c>
      <c r="V720" s="698">
        <f t="shared" si="284"/>
        <v>40545</v>
      </c>
      <c r="W720" s="679"/>
      <c r="X720" s="678"/>
      <c r="Y720" s="679"/>
      <c r="Z720" s="678"/>
      <c r="AA720" s="679"/>
      <c r="AB720" s="678"/>
      <c r="AC720" s="679"/>
      <c r="AD720" s="678"/>
      <c r="AE720" s="694">
        <f t="shared" si="285"/>
        <v>0</v>
      </c>
      <c r="AF720" s="695">
        <f t="shared" ref="AF720:AF730" si="293">+AE720/900</f>
        <v>0</v>
      </c>
      <c r="AG720" s="696">
        <f t="shared" si="286"/>
        <v>0</v>
      </c>
      <c r="AH720" s="697">
        <f t="shared" ref="AH720:AH730" si="294">+AG720/900</f>
        <v>0</v>
      </c>
      <c r="AI720" s="679"/>
      <c r="AJ720" s="678"/>
      <c r="AK720" s="694">
        <f t="shared" si="287"/>
        <v>0</v>
      </c>
      <c r="AL720" s="698">
        <f t="shared" si="288"/>
        <v>0</v>
      </c>
      <c r="AM720" s="679"/>
      <c r="AN720" s="678"/>
      <c r="AO720" s="679"/>
      <c r="AP720" s="678"/>
      <c r="AQ720" s="679"/>
      <c r="AR720" s="678"/>
      <c r="AS720" s="679"/>
      <c r="AT720" s="678"/>
      <c r="AU720" s="699">
        <f t="shared" ref="AU720:AU730" si="295">SUM(AM720,AO720,AQ720,AS720)</f>
        <v>0</v>
      </c>
      <c r="AV720" s="695">
        <f t="shared" si="254"/>
        <v>0</v>
      </c>
      <c r="AW720" s="696">
        <f t="shared" ref="AW720:AW730" si="296">SUM(AN720,AP720,AR720,AT720)</f>
        <v>0</v>
      </c>
      <c r="AX720" s="697">
        <f t="shared" ref="AX720:AX730" si="297">+AW720/24</f>
        <v>0</v>
      </c>
      <c r="AY720" s="700">
        <f t="shared" si="289"/>
        <v>1209</v>
      </c>
      <c r="AZ720" s="697">
        <f t="shared" si="290"/>
        <v>1351.5</v>
      </c>
      <c r="BA720" s="680"/>
    </row>
    <row r="721" spans="1:53">
      <c r="A721" s="520" t="s">
        <v>706</v>
      </c>
      <c r="B721" s="291" t="s">
        <v>716</v>
      </c>
      <c r="C721" s="521">
        <v>237686</v>
      </c>
      <c r="D721" s="156">
        <v>7</v>
      </c>
      <c r="E721" s="148" t="s">
        <v>393</v>
      </c>
      <c r="F721" s="149" t="s">
        <v>393</v>
      </c>
      <c r="G721" s="679"/>
      <c r="H721" s="678"/>
      <c r="I721" s="679">
        <v>38158</v>
      </c>
      <c r="J721" s="678">
        <v>38542</v>
      </c>
      <c r="K721" s="679">
        <v>6926</v>
      </c>
      <c r="L721" s="678">
        <v>8826</v>
      </c>
      <c r="M721" s="679">
        <v>39085</v>
      </c>
      <c r="N721" s="678">
        <v>46182</v>
      </c>
      <c r="O721" s="694">
        <f t="shared" si="281"/>
        <v>84169</v>
      </c>
      <c r="P721" s="695">
        <f t="shared" si="291"/>
        <v>2805.6333333333332</v>
      </c>
      <c r="Q721" s="696">
        <f t="shared" si="282"/>
        <v>93550</v>
      </c>
      <c r="R721" s="697">
        <f t="shared" si="292"/>
        <v>3118.3333333333335</v>
      </c>
      <c r="S721" s="679">
        <v>3453</v>
      </c>
      <c r="T721" s="678">
        <v>3716</v>
      </c>
      <c r="U721" s="694">
        <f t="shared" si="283"/>
        <v>84169</v>
      </c>
      <c r="V721" s="698">
        <f t="shared" si="284"/>
        <v>93550</v>
      </c>
      <c r="W721" s="679"/>
      <c r="X721" s="678"/>
      <c r="Y721" s="679"/>
      <c r="Z721" s="678"/>
      <c r="AA721" s="679"/>
      <c r="AB721" s="678"/>
      <c r="AC721" s="679"/>
      <c r="AD721" s="678"/>
      <c r="AE721" s="694">
        <f t="shared" si="285"/>
        <v>0</v>
      </c>
      <c r="AF721" s="695">
        <f t="shared" si="293"/>
        <v>0</v>
      </c>
      <c r="AG721" s="696">
        <f t="shared" si="286"/>
        <v>0</v>
      </c>
      <c r="AH721" s="697">
        <f t="shared" si="294"/>
        <v>0</v>
      </c>
      <c r="AI721" s="679"/>
      <c r="AJ721" s="678"/>
      <c r="AK721" s="694">
        <f t="shared" si="287"/>
        <v>0</v>
      </c>
      <c r="AL721" s="698">
        <f t="shared" si="288"/>
        <v>0</v>
      </c>
      <c r="AM721" s="679"/>
      <c r="AN721" s="678"/>
      <c r="AO721" s="679"/>
      <c r="AP721" s="678"/>
      <c r="AQ721" s="679"/>
      <c r="AR721" s="678"/>
      <c r="AS721" s="679"/>
      <c r="AT721" s="678"/>
      <c r="AU721" s="699">
        <f t="shared" si="295"/>
        <v>0</v>
      </c>
      <c r="AV721" s="695">
        <f t="shared" si="254"/>
        <v>0</v>
      </c>
      <c r="AW721" s="696">
        <f t="shared" si="296"/>
        <v>0</v>
      </c>
      <c r="AX721" s="697">
        <f t="shared" si="297"/>
        <v>0</v>
      </c>
      <c r="AY721" s="700">
        <f t="shared" si="289"/>
        <v>2805.6333333333332</v>
      </c>
      <c r="AZ721" s="697">
        <f t="shared" si="290"/>
        <v>3118.3333333333335</v>
      </c>
      <c r="BA721" s="680"/>
    </row>
    <row r="722" spans="1:53">
      <c r="A722" s="520" t="s">
        <v>706</v>
      </c>
      <c r="B722" s="291" t="s">
        <v>718</v>
      </c>
      <c r="C722" s="521">
        <v>446774</v>
      </c>
      <c r="D722" s="156">
        <v>10</v>
      </c>
      <c r="E722" s="148" t="s">
        <v>393</v>
      </c>
      <c r="F722" s="149" t="s">
        <v>393</v>
      </c>
      <c r="G722" s="679"/>
      <c r="H722" s="678"/>
      <c r="I722" s="679">
        <v>14473.5</v>
      </c>
      <c r="J722" s="678">
        <v>16461.5</v>
      </c>
      <c r="K722" s="679">
        <v>1831</v>
      </c>
      <c r="L722" s="678">
        <v>2480</v>
      </c>
      <c r="M722" s="679">
        <v>16962.5</v>
      </c>
      <c r="N722" s="678">
        <v>21473.5</v>
      </c>
      <c r="O722" s="694">
        <f t="shared" si="281"/>
        <v>33267</v>
      </c>
      <c r="P722" s="695">
        <f t="shared" si="291"/>
        <v>1108.9000000000001</v>
      </c>
      <c r="Q722" s="696">
        <f t="shared" si="282"/>
        <v>40415</v>
      </c>
      <c r="R722" s="697">
        <f t="shared" si="292"/>
        <v>1347.1666666666667</v>
      </c>
      <c r="S722" s="679">
        <v>1076</v>
      </c>
      <c r="T722" s="678">
        <v>909.6</v>
      </c>
      <c r="U722" s="694">
        <f t="shared" si="283"/>
        <v>33267</v>
      </c>
      <c r="V722" s="698">
        <f t="shared" si="284"/>
        <v>40415</v>
      </c>
      <c r="W722" s="679"/>
      <c r="X722" s="678"/>
      <c r="Y722" s="679"/>
      <c r="Z722" s="678"/>
      <c r="AA722" s="679"/>
      <c r="AB722" s="678"/>
      <c r="AC722" s="679"/>
      <c r="AD722" s="678"/>
      <c r="AE722" s="694">
        <f t="shared" si="285"/>
        <v>0</v>
      </c>
      <c r="AF722" s="695">
        <f t="shared" si="293"/>
        <v>0</v>
      </c>
      <c r="AG722" s="696">
        <f t="shared" si="286"/>
        <v>0</v>
      </c>
      <c r="AH722" s="697">
        <f t="shared" si="294"/>
        <v>0</v>
      </c>
      <c r="AI722" s="679"/>
      <c r="AJ722" s="678"/>
      <c r="AK722" s="694">
        <f t="shared" si="287"/>
        <v>0</v>
      </c>
      <c r="AL722" s="698">
        <f t="shared" si="288"/>
        <v>0</v>
      </c>
      <c r="AM722" s="679"/>
      <c r="AN722" s="678"/>
      <c r="AO722" s="679"/>
      <c r="AP722" s="678"/>
      <c r="AQ722" s="679"/>
      <c r="AR722" s="678"/>
      <c r="AS722" s="679"/>
      <c r="AT722" s="678"/>
      <c r="AU722" s="699">
        <f t="shared" si="295"/>
        <v>0</v>
      </c>
      <c r="AV722" s="695">
        <f t="shared" si="254"/>
        <v>0</v>
      </c>
      <c r="AW722" s="696">
        <f t="shared" si="296"/>
        <v>0</v>
      </c>
      <c r="AX722" s="697">
        <f t="shared" si="297"/>
        <v>0</v>
      </c>
      <c r="AY722" s="700">
        <f t="shared" si="289"/>
        <v>1108.9000000000001</v>
      </c>
      <c r="AZ722" s="697">
        <f t="shared" si="290"/>
        <v>1347.1666666666667</v>
      </c>
      <c r="BA722" s="680"/>
    </row>
    <row r="723" spans="1:53">
      <c r="A723" s="520" t="s">
        <v>706</v>
      </c>
      <c r="B723" s="291" t="s">
        <v>867</v>
      </c>
      <c r="C723" s="521">
        <v>445674</v>
      </c>
      <c r="D723" s="156">
        <v>10</v>
      </c>
      <c r="E723" s="148" t="s">
        <v>393</v>
      </c>
      <c r="F723" s="149" t="s">
        <v>393</v>
      </c>
      <c r="G723" s="679"/>
      <c r="H723" s="678"/>
      <c r="I723" s="679">
        <v>8305</v>
      </c>
      <c r="J723" s="678">
        <v>7862</v>
      </c>
      <c r="K723" s="679">
        <v>487</v>
      </c>
      <c r="L723" s="678">
        <v>135</v>
      </c>
      <c r="M723" s="679">
        <v>8584</v>
      </c>
      <c r="N723" s="678">
        <v>8669</v>
      </c>
      <c r="O723" s="694">
        <f t="shared" si="281"/>
        <v>17376</v>
      </c>
      <c r="P723" s="695">
        <f t="shared" si="291"/>
        <v>579.20000000000005</v>
      </c>
      <c r="Q723" s="696">
        <f t="shared" si="282"/>
        <v>16666</v>
      </c>
      <c r="R723" s="697">
        <f t="shared" si="292"/>
        <v>555.5333333333333</v>
      </c>
      <c r="S723" s="679">
        <v>307</v>
      </c>
      <c r="T723" s="678">
        <v>502</v>
      </c>
      <c r="U723" s="694">
        <f t="shared" si="283"/>
        <v>17376</v>
      </c>
      <c r="V723" s="698">
        <f t="shared" si="284"/>
        <v>16666</v>
      </c>
      <c r="W723" s="679"/>
      <c r="X723" s="678"/>
      <c r="Y723" s="679"/>
      <c r="Z723" s="678"/>
      <c r="AA723" s="679"/>
      <c r="AB723" s="678"/>
      <c r="AC723" s="679"/>
      <c r="AD723" s="678"/>
      <c r="AE723" s="694">
        <f t="shared" si="285"/>
        <v>0</v>
      </c>
      <c r="AF723" s="695">
        <f t="shared" si="293"/>
        <v>0</v>
      </c>
      <c r="AG723" s="696">
        <f t="shared" si="286"/>
        <v>0</v>
      </c>
      <c r="AH723" s="697">
        <f t="shared" si="294"/>
        <v>0</v>
      </c>
      <c r="AI723" s="679"/>
      <c r="AJ723" s="678"/>
      <c r="AK723" s="694">
        <f t="shared" si="287"/>
        <v>0</v>
      </c>
      <c r="AL723" s="698">
        <f t="shared" si="288"/>
        <v>0</v>
      </c>
      <c r="AM723" s="679"/>
      <c r="AN723" s="678"/>
      <c r="AO723" s="679"/>
      <c r="AP723" s="678"/>
      <c r="AQ723" s="679"/>
      <c r="AR723" s="678"/>
      <c r="AS723" s="679"/>
      <c r="AT723" s="678"/>
      <c r="AU723" s="699">
        <f t="shared" si="295"/>
        <v>0</v>
      </c>
      <c r="AV723" s="695">
        <f t="shared" si="254"/>
        <v>0</v>
      </c>
      <c r="AW723" s="696">
        <f t="shared" si="296"/>
        <v>0</v>
      </c>
      <c r="AX723" s="697">
        <f t="shared" si="297"/>
        <v>0</v>
      </c>
      <c r="AY723" s="700">
        <f t="shared" si="289"/>
        <v>579.20000000000005</v>
      </c>
      <c r="AZ723" s="697">
        <f t="shared" si="290"/>
        <v>555.5333333333333</v>
      </c>
      <c r="BA723" s="680"/>
    </row>
    <row r="724" spans="1:53">
      <c r="A724" s="520" t="s">
        <v>706</v>
      </c>
      <c r="B724" s="291" t="s">
        <v>719</v>
      </c>
      <c r="C724" s="521">
        <v>438708</v>
      </c>
      <c r="D724" s="156">
        <v>10</v>
      </c>
      <c r="E724" s="148" t="s">
        <v>393</v>
      </c>
      <c r="F724" s="149" t="s">
        <v>393</v>
      </c>
      <c r="G724" s="679"/>
      <c r="H724" s="678"/>
      <c r="I724" s="679">
        <v>2507</v>
      </c>
      <c r="J724" s="678">
        <v>3794</v>
      </c>
      <c r="K724" s="679">
        <v>379</v>
      </c>
      <c r="L724" s="678">
        <v>426</v>
      </c>
      <c r="M724" s="679">
        <v>3618</v>
      </c>
      <c r="N724" s="678">
        <v>4681</v>
      </c>
      <c r="O724" s="694">
        <f t="shared" si="281"/>
        <v>6504</v>
      </c>
      <c r="P724" s="695">
        <f t="shared" si="291"/>
        <v>216.8</v>
      </c>
      <c r="Q724" s="696">
        <f t="shared" si="282"/>
        <v>8901</v>
      </c>
      <c r="R724" s="697">
        <f t="shared" si="292"/>
        <v>296.7</v>
      </c>
      <c r="S724" s="679">
        <v>1671</v>
      </c>
      <c r="T724" s="678">
        <v>1657</v>
      </c>
      <c r="U724" s="694">
        <f t="shared" si="283"/>
        <v>6504</v>
      </c>
      <c r="V724" s="698">
        <f t="shared" si="284"/>
        <v>8901</v>
      </c>
      <c r="W724" s="679"/>
      <c r="X724" s="678"/>
      <c r="Y724" s="679"/>
      <c r="Z724" s="678"/>
      <c r="AA724" s="679"/>
      <c r="AB724" s="678"/>
      <c r="AC724" s="679"/>
      <c r="AD724" s="678"/>
      <c r="AE724" s="694">
        <f t="shared" si="285"/>
        <v>0</v>
      </c>
      <c r="AF724" s="695">
        <f t="shared" si="293"/>
        <v>0</v>
      </c>
      <c r="AG724" s="696">
        <f t="shared" si="286"/>
        <v>0</v>
      </c>
      <c r="AH724" s="697">
        <f t="shared" si="294"/>
        <v>0</v>
      </c>
      <c r="AI724" s="679"/>
      <c r="AJ724" s="678"/>
      <c r="AK724" s="694">
        <f t="shared" si="287"/>
        <v>0</v>
      </c>
      <c r="AL724" s="698">
        <f t="shared" si="288"/>
        <v>0</v>
      </c>
      <c r="AM724" s="679"/>
      <c r="AN724" s="678"/>
      <c r="AO724" s="679"/>
      <c r="AP724" s="678"/>
      <c r="AQ724" s="679"/>
      <c r="AR724" s="678"/>
      <c r="AS724" s="679"/>
      <c r="AT724" s="678"/>
      <c r="AU724" s="699">
        <f t="shared" si="295"/>
        <v>0</v>
      </c>
      <c r="AV724" s="695">
        <f t="shared" si="254"/>
        <v>0</v>
      </c>
      <c r="AW724" s="696">
        <f t="shared" si="296"/>
        <v>0</v>
      </c>
      <c r="AX724" s="697">
        <f t="shared" si="297"/>
        <v>0</v>
      </c>
      <c r="AY724" s="700">
        <f t="shared" si="289"/>
        <v>216.8</v>
      </c>
      <c r="AZ724" s="697">
        <f t="shared" si="290"/>
        <v>296.7</v>
      </c>
      <c r="BA724" s="680"/>
    </row>
    <row r="725" spans="1:53">
      <c r="A725" s="520" t="s">
        <v>706</v>
      </c>
      <c r="B725" s="291" t="s">
        <v>868</v>
      </c>
      <c r="C725" s="521">
        <v>445018</v>
      </c>
      <c r="D725" s="156">
        <v>10</v>
      </c>
      <c r="E725" s="148" t="s">
        <v>393</v>
      </c>
      <c r="F725" s="149" t="s">
        <v>393</v>
      </c>
      <c r="G725" s="679"/>
      <c r="H725" s="678"/>
      <c r="I725" s="679">
        <v>16869</v>
      </c>
      <c r="J725" s="678">
        <v>18540</v>
      </c>
      <c r="K725" s="679">
        <v>1990</v>
      </c>
      <c r="L725" s="678">
        <v>2028</v>
      </c>
      <c r="M725" s="679">
        <v>19293</v>
      </c>
      <c r="N725" s="678">
        <v>16906</v>
      </c>
      <c r="O725" s="694">
        <f t="shared" si="281"/>
        <v>38152</v>
      </c>
      <c r="P725" s="695">
        <f t="shared" si="291"/>
        <v>1271.7333333333333</v>
      </c>
      <c r="Q725" s="696">
        <f t="shared" si="282"/>
        <v>37474</v>
      </c>
      <c r="R725" s="697">
        <f t="shared" si="292"/>
        <v>1249.1333333333334</v>
      </c>
      <c r="S725" s="679">
        <v>262</v>
      </c>
      <c r="T725" s="678">
        <v>307</v>
      </c>
      <c r="U725" s="694">
        <f t="shared" si="283"/>
        <v>38152</v>
      </c>
      <c r="V725" s="698">
        <f t="shared" si="284"/>
        <v>37474</v>
      </c>
      <c r="W725" s="679"/>
      <c r="X725" s="678"/>
      <c r="Y725" s="679"/>
      <c r="Z725" s="678"/>
      <c r="AA725" s="679"/>
      <c r="AB725" s="678"/>
      <c r="AC725" s="679"/>
      <c r="AD725" s="678"/>
      <c r="AE725" s="694">
        <f t="shared" si="285"/>
        <v>0</v>
      </c>
      <c r="AF725" s="695">
        <f t="shared" si="293"/>
        <v>0</v>
      </c>
      <c r="AG725" s="696">
        <f t="shared" si="286"/>
        <v>0</v>
      </c>
      <c r="AH725" s="697">
        <f t="shared" si="294"/>
        <v>0</v>
      </c>
      <c r="AI725" s="679"/>
      <c r="AJ725" s="678"/>
      <c r="AK725" s="694">
        <f t="shared" si="287"/>
        <v>0</v>
      </c>
      <c r="AL725" s="698">
        <f t="shared" si="288"/>
        <v>0</v>
      </c>
      <c r="AM725" s="679"/>
      <c r="AN725" s="678"/>
      <c r="AO725" s="679"/>
      <c r="AP725" s="678"/>
      <c r="AQ725" s="679"/>
      <c r="AR725" s="678"/>
      <c r="AS725" s="679"/>
      <c r="AT725" s="678"/>
      <c r="AU725" s="699">
        <f t="shared" si="295"/>
        <v>0</v>
      </c>
      <c r="AV725" s="695">
        <f t="shared" si="254"/>
        <v>0</v>
      </c>
      <c r="AW725" s="696">
        <f t="shared" si="296"/>
        <v>0</v>
      </c>
      <c r="AX725" s="697">
        <f t="shared" si="297"/>
        <v>0</v>
      </c>
      <c r="AY725" s="700">
        <f t="shared" si="289"/>
        <v>1271.7333333333333</v>
      </c>
      <c r="AZ725" s="697">
        <f t="shared" si="290"/>
        <v>1249.1333333333334</v>
      </c>
      <c r="BA725" s="680"/>
    </row>
    <row r="726" spans="1:53">
      <c r="A726" s="520" t="s">
        <v>706</v>
      </c>
      <c r="B726" s="291" t="s">
        <v>720</v>
      </c>
      <c r="C726" s="521">
        <v>444954</v>
      </c>
      <c r="D726" s="156">
        <v>10</v>
      </c>
      <c r="E726" s="148" t="s">
        <v>393</v>
      </c>
      <c r="F726" s="149" t="s">
        <v>393</v>
      </c>
      <c r="G726" s="679"/>
      <c r="H726" s="678"/>
      <c r="I726" s="679">
        <v>20350</v>
      </c>
      <c r="J726" s="678">
        <v>22317</v>
      </c>
      <c r="K726" s="679">
        <v>3305</v>
      </c>
      <c r="L726" s="678">
        <v>4622</v>
      </c>
      <c r="M726" s="679">
        <v>24471</v>
      </c>
      <c r="N726" s="678">
        <v>29081</v>
      </c>
      <c r="O726" s="694">
        <f t="shared" si="281"/>
        <v>48126</v>
      </c>
      <c r="P726" s="695">
        <f t="shared" si="291"/>
        <v>1604.2</v>
      </c>
      <c r="Q726" s="696">
        <f t="shared" si="282"/>
        <v>56020</v>
      </c>
      <c r="R726" s="697">
        <f t="shared" si="292"/>
        <v>1867.3333333333333</v>
      </c>
      <c r="S726" s="679">
        <v>1275</v>
      </c>
      <c r="T726" s="678">
        <v>1111</v>
      </c>
      <c r="U726" s="694">
        <f t="shared" si="283"/>
        <v>48126</v>
      </c>
      <c r="V726" s="698">
        <f t="shared" si="284"/>
        <v>56020</v>
      </c>
      <c r="W726" s="679"/>
      <c r="X726" s="678"/>
      <c r="Y726" s="679"/>
      <c r="Z726" s="678"/>
      <c r="AA726" s="679"/>
      <c r="AB726" s="678"/>
      <c r="AC726" s="679"/>
      <c r="AD726" s="678"/>
      <c r="AE726" s="694">
        <f t="shared" si="285"/>
        <v>0</v>
      </c>
      <c r="AF726" s="695">
        <f t="shared" si="293"/>
        <v>0</v>
      </c>
      <c r="AG726" s="696">
        <f t="shared" si="286"/>
        <v>0</v>
      </c>
      <c r="AH726" s="697">
        <f t="shared" si="294"/>
        <v>0</v>
      </c>
      <c r="AI726" s="679"/>
      <c r="AJ726" s="678"/>
      <c r="AK726" s="694">
        <f t="shared" si="287"/>
        <v>0</v>
      </c>
      <c r="AL726" s="698">
        <f t="shared" si="288"/>
        <v>0</v>
      </c>
      <c r="AM726" s="679"/>
      <c r="AN726" s="678"/>
      <c r="AO726" s="679"/>
      <c r="AP726" s="678"/>
      <c r="AQ726" s="679"/>
      <c r="AR726" s="678"/>
      <c r="AS726" s="679"/>
      <c r="AT726" s="678"/>
      <c r="AU726" s="699">
        <f t="shared" si="295"/>
        <v>0</v>
      </c>
      <c r="AV726" s="695">
        <f t="shared" si="254"/>
        <v>0</v>
      </c>
      <c r="AW726" s="696">
        <f t="shared" si="296"/>
        <v>0</v>
      </c>
      <c r="AX726" s="697">
        <f t="shared" si="297"/>
        <v>0</v>
      </c>
      <c r="AY726" s="700">
        <f t="shared" si="289"/>
        <v>1604.2</v>
      </c>
      <c r="AZ726" s="697">
        <f t="shared" si="290"/>
        <v>1867.3333333333333</v>
      </c>
      <c r="BA726" s="680"/>
    </row>
    <row r="727" spans="1:53">
      <c r="A727" s="520" t="s">
        <v>706</v>
      </c>
      <c r="B727" s="291" t="s">
        <v>721</v>
      </c>
      <c r="C727" s="521">
        <v>447582</v>
      </c>
      <c r="D727" s="156">
        <v>10</v>
      </c>
      <c r="E727" s="148" t="s">
        <v>393</v>
      </c>
      <c r="F727" s="149" t="s">
        <v>393</v>
      </c>
      <c r="G727" s="679"/>
      <c r="H727" s="678"/>
      <c r="I727" s="679">
        <v>21361.3</v>
      </c>
      <c r="J727" s="678">
        <v>24091</v>
      </c>
      <c r="K727" s="679">
        <v>3134</v>
      </c>
      <c r="L727" s="678">
        <v>3737</v>
      </c>
      <c r="M727" s="679">
        <v>22832</v>
      </c>
      <c r="N727" s="678">
        <v>28915</v>
      </c>
      <c r="O727" s="694">
        <f t="shared" si="281"/>
        <v>47327.3</v>
      </c>
      <c r="P727" s="695">
        <f t="shared" si="291"/>
        <v>1577.5766666666668</v>
      </c>
      <c r="Q727" s="696">
        <f t="shared" si="282"/>
        <v>56743</v>
      </c>
      <c r="R727" s="697">
        <f t="shared" si="292"/>
        <v>1891.4333333333334</v>
      </c>
      <c r="S727" s="679">
        <v>2765</v>
      </c>
      <c r="T727" s="678">
        <v>2648</v>
      </c>
      <c r="U727" s="694">
        <f t="shared" si="283"/>
        <v>47327.3</v>
      </c>
      <c r="V727" s="698">
        <f t="shared" si="284"/>
        <v>56743</v>
      </c>
      <c r="W727" s="679"/>
      <c r="X727" s="678"/>
      <c r="Y727" s="679"/>
      <c r="Z727" s="678"/>
      <c r="AA727" s="679"/>
      <c r="AB727" s="678"/>
      <c r="AC727" s="679"/>
      <c r="AD727" s="678"/>
      <c r="AE727" s="694">
        <f t="shared" si="285"/>
        <v>0</v>
      </c>
      <c r="AF727" s="695">
        <f t="shared" si="293"/>
        <v>0</v>
      </c>
      <c r="AG727" s="696">
        <f t="shared" si="286"/>
        <v>0</v>
      </c>
      <c r="AH727" s="697">
        <f t="shared" si="294"/>
        <v>0</v>
      </c>
      <c r="AI727" s="679"/>
      <c r="AJ727" s="678"/>
      <c r="AK727" s="694">
        <f t="shared" si="287"/>
        <v>0</v>
      </c>
      <c r="AL727" s="698">
        <f t="shared" si="288"/>
        <v>0</v>
      </c>
      <c r="AM727" s="679"/>
      <c r="AN727" s="678"/>
      <c r="AO727" s="679"/>
      <c r="AP727" s="678"/>
      <c r="AQ727" s="679"/>
      <c r="AR727" s="678"/>
      <c r="AS727" s="679"/>
      <c r="AT727" s="678"/>
      <c r="AU727" s="699">
        <f t="shared" si="295"/>
        <v>0</v>
      </c>
      <c r="AV727" s="695">
        <f t="shared" si="254"/>
        <v>0</v>
      </c>
      <c r="AW727" s="696">
        <f t="shared" si="296"/>
        <v>0</v>
      </c>
      <c r="AX727" s="697">
        <f t="shared" si="297"/>
        <v>0</v>
      </c>
      <c r="AY727" s="700">
        <f t="shared" si="289"/>
        <v>1577.5766666666668</v>
      </c>
      <c r="AZ727" s="697">
        <f t="shared" si="290"/>
        <v>1891.4333333333334</v>
      </c>
      <c r="BA727" s="680"/>
    </row>
    <row r="728" spans="1:53">
      <c r="A728" s="520" t="s">
        <v>706</v>
      </c>
      <c r="B728" s="569" t="s">
        <v>717</v>
      </c>
      <c r="C728" s="567">
        <v>443492</v>
      </c>
      <c r="D728" s="568">
        <v>10</v>
      </c>
      <c r="E728" s="148" t="s">
        <v>393</v>
      </c>
      <c r="F728" s="149" t="s">
        <v>393</v>
      </c>
      <c r="G728" s="679"/>
      <c r="H728" s="678"/>
      <c r="I728" s="679">
        <v>26131</v>
      </c>
      <c r="J728" s="678">
        <v>26804</v>
      </c>
      <c r="K728" s="679">
        <v>2930</v>
      </c>
      <c r="L728" s="678">
        <v>3058</v>
      </c>
      <c r="M728" s="679">
        <v>27175</v>
      </c>
      <c r="N728" s="678">
        <v>29564</v>
      </c>
      <c r="O728" s="694">
        <f t="shared" si="281"/>
        <v>56236</v>
      </c>
      <c r="P728" s="695">
        <f t="shared" si="291"/>
        <v>1874.5333333333333</v>
      </c>
      <c r="Q728" s="696">
        <f t="shared" si="282"/>
        <v>59426</v>
      </c>
      <c r="R728" s="697">
        <f t="shared" si="292"/>
        <v>1980.8666666666666</v>
      </c>
      <c r="S728" s="679">
        <v>4208</v>
      </c>
      <c r="T728" s="678">
        <v>4127</v>
      </c>
      <c r="U728" s="694">
        <f t="shared" si="283"/>
        <v>56236</v>
      </c>
      <c r="V728" s="698">
        <f t="shared" si="284"/>
        <v>59426</v>
      </c>
      <c r="W728" s="679"/>
      <c r="X728" s="678"/>
      <c r="Y728" s="679"/>
      <c r="Z728" s="678"/>
      <c r="AA728" s="679"/>
      <c r="AB728" s="678"/>
      <c r="AC728" s="679"/>
      <c r="AD728" s="678"/>
      <c r="AE728" s="694">
        <f t="shared" si="285"/>
        <v>0</v>
      </c>
      <c r="AF728" s="695">
        <f t="shared" si="293"/>
        <v>0</v>
      </c>
      <c r="AG728" s="696">
        <f t="shared" si="286"/>
        <v>0</v>
      </c>
      <c r="AH728" s="697">
        <f t="shared" si="294"/>
        <v>0</v>
      </c>
      <c r="AI728" s="679"/>
      <c r="AJ728" s="678"/>
      <c r="AK728" s="694">
        <f t="shared" si="287"/>
        <v>0</v>
      </c>
      <c r="AL728" s="698">
        <f t="shared" si="288"/>
        <v>0</v>
      </c>
      <c r="AM728" s="679"/>
      <c r="AN728" s="678"/>
      <c r="AO728" s="679"/>
      <c r="AP728" s="678"/>
      <c r="AQ728" s="679"/>
      <c r="AR728" s="678"/>
      <c r="AS728" s="679"/>
      <c r="AT728" s="678"/>
      <c r="AU728" s="699">
        <f t="shared" si="295"/>
        <v>0</v>
      </c>
      <c r="AV728" s="695">
        <f t="shared" si="254"/>
        <v>0</v>
      </c>
      <c r="AW728" s="696">
        <f t="shared" si="296"/>
        <v>0</v>
      </c>
      <c r="AX728" s="697">
        <f t="shared" si="297"/>
        <v>0</v>
      </c>
      <c r="AY728" s="700">
        <f t="shared" si="289"/>
        <v>1874.5333333333333</v>
      </c>
      <c r="AZ728" s="697">
        <f t="shared" si="290"/>
        <v>1980.8666666666666</v>
      </c>
      <c r="BA728" s="680"/>
    </row>
    <row r="729" spans="1:53">
      <c r="A729" s="520" t="s">
        <v>706</v>
      </c>
      <c r="B729" s="291" t="s">
        <v>723</v>
      </c>
      <c r="C729" s="521">
        <v>237817</v>
      </c>
      <c r="D729" s="156">
        <v>10</v>
      </c>
      <c r="E729" s="148" t="s">
        <v>393</v>
      </c>
      <c r="F729" s="149" t="s">
        <v>393</v>
      </c>
      <c r="G729" s="679"/>
      <c r="H729" s="678"/>
      <c r="I729" s="679">
        <v>22742</v>
      </c>
      <c r="J729" s="678">
        <v>22301</v>
      </c>
      <c r="K729" s="679">
        <v>1595</v>
      </c>
      <c r="L729" s="678">
        <v>2112</v>
      </c>
      <c r="M729" s="679">
        <v>25227</v>
      </c>
      <c r="N729" s="678">
        <v>26378</v>
      </c>
      <c r="O729" s="694">
        <f t="shared" si="281"/>
        <v>49564</v>
      </c>
      <c r="P729" s="695">
        <f t="shared" si="291"/>
        <v>1652.1333333333334</v>
      </c>
      <c r="Q729" s="696">
        <f t="shared" si="282"/>
        <v>50791</v>
      </c>
      <c r="R729" s="697">
        <f t="shared" si="292"/>
        <v>1693.0333333333333</v>
      </c>
      <c r="S729" s="679">
        <v>3302</v>
      </c>
      <c r="T729" s="678">
        <v>3621</v>
      </c>
      <c r="U729" s="694">
        <f t="shared" si="283"/>
        <v>49564</v>
      </c>
      <c r="V729" s="698">
        <f t="shared" si="284"/>
        <v>50791</v>
      </c>
      <c r="W729" s="679"/>
      <c r="X729" s="678"/>
      <c r="Y729" s="679"/>
      <c r="Z729" s="678"/>
      <c r="AA729" s="679"/>
      <c r="AB729" s="678"/>
      <c r="AC729" s="679"/>
      <c r="AD729" s="678"/>
      <c r="AE729" s="694">
        <f t="shared" si="285"/>
        <v>0</v>
      </c>
      <c r="AF729" s="695">
        <f t="shared" si="293"/>
        <v>0</v>
      </c>
      <c r="AG729" s="696">
        <f t="shared" si="286"/>
        <v>0</v>
      </c>
      <c r="AH729" s="697">
        <f t="shared" si="294"/>
        <v>0</v>
      </c>
      <c r="AI729" s="679"/>
      <c r="AJ729" s="678"/>
      <c r="AK729" s="694">
        <f t="shared" si="287"/>
        <v>0</v>
      </c>
      <c r="AL729" s="698">
        <f t="shared" si="288"/>
        <v>0</v>
      </c>
      <c r="AM729" s="679"/>
      <c r="AN729" s="678"/>
      <c r="AO729" s="679"/>
      <c r="AP729" s="678"/>
      <c r="AQ729" s="679"/>
      <c r="AR729" s="678"/>
      <c r="AS729" s="679"/>
      <c r="AT729" s="678"/>
      <c r="AU729" s="699">
        <f t="shared" si="295"/>
        <v>0</v>
      </c>
      <c r="AV729" s="695">
        <f t="shared" si="254"/>
        <v>0</v>
      </c>
      <c r="AW729" s="696">
        <f t="shared" si="296"/>
        <v>0</v>
      </c>
      <c r="AX729" s="697">
        <f t="shared" si="297"/>
        <v>0</v>
      </c>
      <c r="AY729" s="700">
        <f t="shared" si="289"/>
        <v>1652.1333333333334</v>
      </c>
      <c r="AZ729" s="697">
        <f t="shared" si="290"/>
        <v>1693.0333333333333</v>
      </c>
      <c r="BA729" s="680"/>
    </row>
    <row r="730" spans="1:53">
      <c r="A730" s="520" t="s">
        <v>706</v>
      </c>
      <c r="B730" s="291" t="s">
        <v>724</v>
      </c>
      <c r="C730" s="521">
        <v>238014</v>
      </c>
      <c r="D730" s="156">
        <v>10</v>
      </c>
      <c r="E730" s="148" t="s">
        <v>393</v>
      </c>
      <c r="F730" s="149" t="s">
        <v>393</v>
      </c>
      <c r="G730" s="679"/>
      <c r="H730" s="678"/>
      <c r="I730" s="679">
        <v>26169.3</v>
      </c>
      <c r="J730" s="678">
        <v>26953.599999999999</v>
      </c>
      <c r="K730" s="679">
        <v>5644</v>
      </c>
      <c r="L730" s="678">
        <v>8053</v>
      </c>
      <c r="M730" s="679">
        <v>27357.9</v>
      </c>
      <c r="N730" s="678">
        <v>30947.5</v>
      </c>
      <c r="O730" s="694">
        <f t="shared" si="281"/>
        <v>59171.199999999997</v>
      </c>
      <c r="P730" s="695">
        <f t="shared" si="291"/>
        <v>1972.3733333333332</v>
      </c>
      <c r="Q730" s="696">
        <f t="shared" si="282"/>
        <v>65954.100000000006</v>
      </c>
      <c r="R730" s="697">
        <f t="shared" si="292"/>
        <v>2198.4700000000003</v>
      </c>
      <c r="S730" s="679">
        <v>4067.3</v>
      </c>
      <c r="T730" s="678">
        <v>3359.5</v>
      </c>
      <c r="U730" s="694">
        <f t="shared" si="283"/>
        <v>59171.199999999997</v>
      </c>
      <c r="V730" s="698">
        <f t="shared" si="284"/>
        <v>65954.100000000006</v>
      </c>
      <c r="W730" s="679"/>
      <c r="X730" s="678"/>
      <c r="Y730" s="679"/>
      <c r="Z730" s="678"/>
      <c r="AA730" s="679"/>
      <c r="AB730" s="678"/>
      <c r="AC730" s="679"/>
      <c r="AD730" s="678"/>
      <c r="AE730" s="694">
        <f t="shared" si="285"/>
        <v>0</v>
      </c>
      <c r="AF730" s="695">
        <f t="shared" si="293"/>
        <v>0</v>
      </c>
      <c r="AG730" s="696">
        <f t="shared" si="286"/>
        <v>0</v>
      </c>
      <c r="AH730" s="697">
        <f t="shared" si="294"/>
        <v>0</v>
      </c>
      <c r="AI730" s="679"/>
      <c r="AJ730" s="678"/>
      <c r="AK730" s="694">
        <f t="shared" si="287"/>
        <v>0</v>
      </c>
      <c r="AL730" s="698">
        <f t="shared" si="288"/>
        <v>0</v>
      </c>
      <c r="AM730" s="679"/>
      <c r="AN730" s="678"/>
      <c r="AO730" s="679"/>
      <c r="AP730" s="678"/>
      <c r="AQ730" s="679"/>
      <c r="AR730" s="678"/>
      <c r="AS730" s="679"/>
      <c r="AT730" s="678"/>
      <c r="AU730" s="699">
        <f t="shared" si="295"/>
        <v>0</v>
      </c>
      <c r="AV730" s="695">
        <f t="shared" si="254"/>
        <v>0</v>
      </c>
      <c r="AW730" s="696">
        <f t="shared" si="296"/>
        <v>0</v>
      </c>
      <c r="AX730" s="697">
        <f t="shared" si="297"/>
        <v>0</v>
      </c>
      <c r="AY730" s="700">
        <f t="shared" si="289"/>
        <v>1972.3733333333332</v>
      </c>
      <c r="AZ730" s="697">
        <f t="shared" si="290"/>
        <v>2198.4700000000003</v>
      </c>
      <c r="BA730" s="680"/>
    </row>
  </sheetData>
  <sortState ref="A649:AZ686">
    <sortCondition ref="D649:D686"/>
    <sortCondition ref="B649:B686"/>
  </sortState>
  <phoneticPr fontId="0" type="noConversion"/>
  <conditionalFormatting sqref="L5:L657 J5:J657 AP5:AP140 Z5:Z730 J659:J730 N5:N657 H5:H730 X5:X730 AN5:AN730 AB5:AB730 AD5:AD730 L659:L730 N659:N730 AP142:AP730 AR5:AR730 AT5:AT730">
    <cfRule type="expression" dxfId="143" priority="151" stopIfTrue="1">
      <formula>H5&lt;(G5-(G5*0.1))</formula>
    </cfRule>
    <cfRule type="expression" dxfId="142" priority="152" stopIfTrue="1">
      <formula>H5&gt;(G5+(G5*0.1))</formula>
    </cfRule>
  </conditionalFormatting>
  <conditionalFormatting sqref="L420">
    <cfRule type="expression" dxfId="141" priority="149" stopIfTrue="1">
      <formula>L420&lt;(K420-(K420*0.1))</formula>
    </cfRule>
    <cfRule type="expression" dxfId="140" priority="150" stopIfTrue="1">
      <formula>L420&gt;(K420+(K420*0.1))</formula>
    </cfRule>
  </conditionalFormatting>
  <conditionalFormatting sqref="L430">
    <cfRule type="expression" dxfId="139" priority="147" stopIfTrue="1">
      <formula>L430&lt;(K430-(K430*0.1))</formula>
    </cfRule>
    <cfRule type="expression" dxfId="138" priority="148" stopIfTrue="1">
      <formula>L430&gt;(K430+(K430*0.1))</formula>
    </cfRule>
  </conditionalFormatting>
  <conditionalFormatting sqref="L435">
    <cfRule type="expression" dxfId="137" priority="145" stopIfTrue="1">
      <formula>L435&lt;(K435-(K435*0.1))</formula>
    </cfRule>
    <cfRule type="expression" dxfId="136" priority="146" stopIfTrue="1">
      <formula>L435&gt;(K435+(K435*0.1))</formula>
    </cfRule>
  </conditionalFormatting>
  <conditionalFormatting sqref="N414:N420">
    <cfRule type="expression" dxfId="135" priority="143" stopIfTrue="1">
      <formula>N414&lt;(M414-(M414*0.1))</formula>
    </cfRule>
    <cfRule type="expression" dxfId="134" priority="144" stopIfTrue="1">
      <formula>N414&gt;(M414+(M414*0.1))</formula>
    </cfRule>
  </conditionalFormatting>
  <conditionalFormatting sqref="N422">
    <cfRule type="expression" dxfId="133" priority="141" stopIfTrue="1">
      <formula>N422&lt;(M422-(M422*0.1))</formula>
    </cfRule>
    <cfRule type="expression" dxfId="132" priority="142" stopIfTrue="1">
      <formula>N422&gt;(M422+(M422*0.1))</formula>
    </cfRule>
  </conditionalFormatting>
  <conditionalFormatting sqref="N424">
    <cfRule type="expression" dxfId="131" priority="139" stopIfTrue="1">
      <formula>N424&lt;(M424-(M424*0.1))</formula>
    </cfRule>
    <cfRule type="expression" dxfId="130" priority="140" stopIfTrue="1">
      <formula>N424&gt;(M424+(M424*0.1))</formula>
    </cfRule>
  </conditionalFormatting>
  <conditionalFormatting sqref="N427:N431">
    <cfRule type="expression" dxfId="129" priority="137" stopIfTrue="1">
      <formula>N427&lt;(M427-(M427*0.1))</formula>
    </cfRule>
    <cfRule type="expression" dxfId="128" priority="138" stopIfTrue="1">
      <formula>N427&gt;(M427+(M427*0.1))</formula>
    </cfRule>
  </conditionalFormatting>
  <conditionalFormatting sqref="N425">
    <cfRule type="expression" dxfId="127" priority="133" stopIfTrue="1">
      <formula>N425&lt;(M425-(M425*0.1))</formula>
    </cfRule>
    <cfRule type="expression" dxfId="126" priority="134" stopIfTrue="1">
      <formula>N425&gt;(M425+(M425*0.1))</formula>
    </cfRule>
  </conditionalFormatting>
  <conditionalFormatting sqref="N432">
    <cfRule type="expression" dxfId="125" priority="131" stopIfTrue="1">
      <formula>N432&lt;(M432-(M432*0.1))</formula>
    </cfRule>
    <cfRule type="expression" dxfId="124" priority="132" stopIfTrue="1">
      <formula>N432&gt;(M432+(M432*0.1))</formula>
    </cfRule>
  </conditionalFormatting>
  <conditionalFormatting sqref="N433">
    <cfRule type="expression" dxfId="123" priority="129" stopIfTrue="1">
      <formula>N433&lt;(M433-(M433*0.1))</formula>
    </cfRule>
    <cfRule type="expression" dxfId="122" priority="130" stopIfTrue="1">
      <formula>N433&gt;(M433+(M433*0.1))</formula>
    </cfRule>
  </conditionalFormatting>
  <conditionalFormatting sqref="AT414:AT423">
    <cfRule type="expression" dxfId="121" priority="127" stopIfTrue="1">
      <formula>AT414&lt;(AS414-(AS414*0.1))</formula>
    </cfRule>
    <cfRule type="expression" dxfId="120" priority="128" stopIfTrue="1">
      <formula>AT414&gt;(AS414+(AS414*0.1))</formula>
    </cfRule>
  </conditionalFormatting>
  <conditionalFormatting sqref="N47">
    <cfRule type="expression" dxfId="119" priority="121" stopIfTrue="1">
      <formula>N47&lt;(M47-(M47*0.1))</formula>
    </cfRule>
    <cfRule type="expression" dxfId="118" priority="122" stopIfTrue="1">
      <formula>N47&gt;(M47+(M47*0.1))</formula>
    </cfRule>
  </conditionalFormatting>
  <conditionalFormatting sqref="N52">
    <cfRule type="expression" dxfId="117" priority="119" stopIfTrue="1">
      <formula>N52&lt;(M52-(M52*0.1))</formula>
    </cfRule>
    <cfRule type="expression" dxfId="116" priority="120" stopIfTrue="1">
      <formula>N52&gt;(M52+(M52*0.1))</formula>
    </cfRule>
  </conditionalFormatting>
  <conditionalFormatting sqref="N66">
    <cfRule type="expression" dxfId="115" priority="117" stopIfTrue="1">
      <formula>N66&lt;(M66-(M66*0.1))</formula>
    </cfRule>
    <cfRule type="expression" dxfId="114" priority="118" stopIfTrue="1">
      <formula>N66&gt;(M66+(M66*0.1))</formula>
    </cfRule>
  </conditionalFormatting>
  <conditionalFormatting sqref="H153:H352 J153:J352 N81:N151 T153:T352 N5:N75 T81:T151 H81:H151 J81:J151 L81:L151 L153:L352 AB81:AB352 AD5:AD75 AN81:AN352 AP81:AP352 AR81:AR352 AT81:AT352 AJ81:AJ352 X81:X352 L5:L75 J5:J75 H5:H75 T5:T75 Z5:Z75 AB5:AB75 AD575:AD730 AN5:AN75 AP5:AP75 AR5:AR75 AT5:AT75 AJ5:AJ75 X5:X75 F575:F720 H575:H730 J575:J730 Z81:Z352 X575:X730 Z575:Z730 AB575:AB730 N153:N352 T575:T730 AN575:AN730 AJ575:AJ730 AD81:AD352 L575:L730 N575:N730 AP575:AP730 AR575:AR730 AT575:AT730">
    <cfRule type="cellIs" dxfId="113" priority="103" stopIfTrue="1" operator="greaterThan">
      <formula>E5+(E5*0.1)</formula>
    </cfRule>
    <cfRule type="cellIs" dxfId="112" priority="104" stopIfTrue="1" operator="lessThan">
      <formula>E5-(E5*0.1)</formula>
    </cfRule>
  </conditionalFormatting>
  <conditionalFormatting sqref="H353:H380 AJ353:AJ380 AT353:AT380 J353:J380 X353:X380 Z353:Z380 AB353:AB380 N353:N380 T353:T380 AN353:AN380 AP353:AP380 AR353:AR380 L353:L380 AD353:AD380">
    <cfRule type="cellIs" dxfId="111" priority="101" stopIfTrue="1" operator="greaterThan">
      <formula>G353+(G353*0.1)</formula>
    </cfRule>
    <cfRule type="cellIs" dxfId="110" priority="102" stopIfTrue="1" operator="lessThan">
      <formula>G353-(G353*0.1)</formula>
    </cfRule>
  </conditionalFormatting>
  <conditionalFormatting sqref="H381:H388 J381:J388 L381:L388 AJ381:AJ388 X381:X388 Z381:Z388 AB381:AB388 N381:N388 T381:T388 AN381:AN388 AP381:AP388 AR381:AR388 AT381:AT388 AD381:AD388">
    <cfRule type="cellIs" dxfId="109" priority="99" stopIfTrue="1" operator="greaterThan">
      <formula>G381+(G381*0.1)</formula>
    </cfRule>
    <cfRule type="cellIs" dxfId="108" priority="100" stopIfTrue="1" operator="lessThan">
      <formula>G381-(G381*0.1)</formula>
    </cfRule>
  </conditionalFormatting>
  <conditionalFormatting sqref="H389:H454 J389:J454 L389:L454 T389:T454 X389:X454 Z389:Z454 AB389:AB454 N389:N454 AN389:AN454 AP389:AP454 AR389:AR454 AT389:AT454 AJ389:AJ454 AD389:AD454">
    <cfRule type="cellIs" dxfId="107" priority="97" stopIfTrue="1" operator="greaterThan">
      <formula>G389+(G389*0.1)</formula>
    </cfRule>
    <cfRule type="cellIs" dxfId="106" priority="98" stopIfTrue="1" operator="lessThan">
      <formula>G389-(G389*0.1)</formula>
    </cfRule>
  </conditionalFormatting>
  <conditionalFormatting sqref="J505:J525 X505:X525 Z505:Z525 AB505:AB525 AD455:AD472 T505:T525 AN505:AN525 AJ505:AJ525 L505:L525 N455:N472 AP505:AP525 AR505:AR525 AT505:AT525 AT455:AT472 AR455:AR472 AP455:AP472 H505:H525 L455:L472 AJ455:AJ472 AN455:AN472 T455:T472 N505:N525 AB455:AB472 Z455:Z472 X455:X472 J455:J472 H455:H472 AD505:AD525">
    <cfRule type="cellIs" dxfId="105" priority="95" stopIfTrue="1" operator="greaterThan">
      <formula>G455+(G455*0.1)</formula>
    </cfRule>
    <cfRule type="cellIs" dxfId="104" priority="96" stopIfTrue="1" operator="lessThan">
      <formula>G455-(G455*0.1)</formula>
    </cfRule>
  </conditionalFormatting>
  <conditionalFormatting sqref="AR457">
    <cfRule type="cellIs" dxfId="103" priority="93" stopIfTrue="1" operator="greaterThan">
      <formula>AQ455+(AQ455*0.1)</formula>
    </cfRule>
    <cfRule type="cellIs" dxfId="102" priority="94" stopIfTrue="1" operator="lessThan">
      <formula>AQ455-(AQ455*0.1)</formula>
    </cfRule>
  </conditionalFormatting>
  <conditionalFormatting sqref="T712 N460">
    <cfRule type="cellIs" dxfId="101" priority="91" stopIfTrue="1" operator="greaterThan">
      <formula>M459+(M459*0.1)</formula>
    </cfRule>
    <cfRule type="cellIs" dxfId="100" priority="92" stopIfTrue="1" operator="lessThan">
      <formula>M459-(M459*0.1)</formula>
    </cfRule>
  </conditionalFormatting>
  <conditionalFormatting sqref="AP460">
    <cfRule type="cellIs" dxfId="99" priority="89" stopIfTrue="1" operator="greaterThan">
      <formula>AO459+(AO459*0.1)</formula>
    </cfRule>
    <cfRule type="cellIs" dxfId="98" priority="90" stopIfTrue="1" operator="lessThan">
      <formula>AO459-(AO459*0.1)</formula>
    </cfRule>
  </conditionalFormatting>
  <conditionalFormatting sqref="AR460">
    <cfRule type="cellIs" dxfId="97" priority="87" stopIfTrue="1" operator="greaterThan">
      <formula>AQ459+(AQ459*0.1)</formula>
    </cfRule>
    <cfRule type="cellIs" dxfId="96" priority="88" stopIfTrue="1" operator="lessThan">
      <formula>AQ459-(AQ459*0.1)</formula>
    </cfRule>
  </conditionalFormatting>
  <conditionalFormatting sqref="AT457">
    <cfRule type="cellIs" dxfId="95" priority="85" stopIfTrue="1" operator="greaterThan">
      <formula>AS455+(AS455*0.1)</formula>
    </cfRule>
    <cfRule type="cellIs" dxfId="94" priority="86" stopIfTrue="1" operator="lessThan">
      <formula>AS455-(AS455*0.1)</formula>
    </cfRule>
  </conditionalFormatting>
  <conditionalFormatting sqref="AT460">
    <cfRule type="cellIs" dxfId="93" priority="83" stopIfTrue="1" operator="greaterThan">
      <formula>AS459+(AS459*0.1)</formula>
    </cfRule>
    <cfRule type="cellIs" dxfId="92" priority="84" stopIfTrue="1" operator="lessThan">
      <formula>AS459-(AS459*0.1)</formula>
    </cfRule>
  </conditionalFormatting>
  <conditionalFormatting sqref="H526:H574 J526:J574 X526:X574 T526:T574 AN526:AN574 AJ526:AJ574 L526:L574 AT526:AT574 Z526:Z574 AB526:AB574 N526:N574 AP526:AP574 AR526:AR574 AD526:AD574">
    <cfRule type="cellIs" dxfId="91" priority="81" stopIfTrue="1" operator="greaterThan">
      <formula>G526+(G526*0.1)</formula>
    </cfRule>
    <cfRule type="cellIs" dxfId="90" priority="82" stopIfTrue="1" operator="lessThan">
      <formula>G526-(G526*0.1)</formula>
    </cfRule>
  </conditionalFormatting>
  <conditionalFormatting sqref="AT610:AT612 N610:N612">
    <cfRule type="cellIs" dxfId="89" priority="79" stopIfTrue="1" operator="greaterThan">
      <formula>M613+(M613*0.1)</formula>
    </cfRule>
    <cfRule type="cellIs" dxfId="88" priority="80" stopIfTrue="1" operator="lessThan">
      <formula>M613-(M613*0.1)</formula>
    </cfRule>
  </conditionalFormatting>
  <conditionalFormatting sqref="T711">
    <cfRule type="cellIs" dxfId="87" priority="77" stopIfTrue="1" operator="greaterThan">
      <formula>S668+(S668*0.1)</formula>
    </cfRule>
    <cfRule type="cellIs" dxfId="86" priority="78" stopIfTrue="1" operator="lessThan">
      <formula>S668-(S668*0.1)</formula>
    </cfRule>
  </conditionalFormatting>
  <conditionalFormatting sqref="T584:T586 T603 T588:T593">
    <cfRule type="cellIs" dxfId="85" priority="75" stopIfTrue="1" operator="greaterThan">
      <formula>S583+(S583*0.1)</formula>
    </cfRule>
    <cfRule type="cellIs" dxfId="84" priority="76" stopIfTrue="1" operator="lessThan">
      <formula>S583-(S583*0.1)</formula>
    </cfRule>
  </conditionalFormatting>
  <conditionalFormatting sqref="T579">
    <cfRule type="cellIs" dxfId="83" priority="73" stopIfTrue="1" operator="greaterThan">
      <formula>S581+(S581*0.1)</formula>
    </cfRule>
    <cfRule type="cellIs" dxfId="82" priority="74" stopIfTrue="1" operator="lessThan">
      <formula>S581-(S581*0.1)</formula>
    </cfRule>
  </conditionalFormatting>
  <conditionalFormatting sqref="T583">
    <cfRule type="cellIs" dxfId="81" priority="71" stopIfTrue="1" operator="greaterThan">
      <formula>S597+(S597*0.1)</formula>
    </cfRule>
    <cfRule type="cellIs" dxfId="80" priority="72" stopIfTrue="1" operator="lessThan">
      <formula>S597-(S597*0.1)</formula>
    </cfRule>
  </conditionalFormatting>
  <conditionalFormatting sqref="T713:T715">
    <cfRule type="cellIs" dxfId="79" priority="69" stopIfTrue="1" operator="greaterThan">
      <formula>#REF!+(#REF!*0.1)</formula>
    </cfRule>
    <cfRule type="cellIs" dxfId="78" priority="70" stopIfTrue="1" operator="lessThan">
      <formula>#REF!-(#REF!*0.1)</formula>
    </cfRule>
  </conditionalFormatting>
  <conditionalFormatting sqref="T152 L152 J152 H152 N152">
    <cfRule type="cellIs" dxfId="77" priority="67" stopIfTrue="1" operator="greaterThan">
      <formula>G152+(G152*0.1)</formula>
    </cfRule>
    <cfRule type="cellIs" dxfId="76" priority="68" stopIfTrue="1" operator="lessThan">
      <formula>G152-(G152*0.1)</formula>
    </cfRule>
  </conditionalFormatting>
  <conditionalFormatting sqref="H76:H80 J76:J80 L76:L80 AJ76:AJ80 X76:X80 Z76:Z80 AB76:AB80 N76:N80 T76:T80 AN76:AN80 AP76:AP80 AR76:AR80 AT76:AT80 AD76:AD80">
    <cfRule type="cellIs" dxfId="75" priority="65" stopIfTrue="1" operator="greaterThan">
      <formula>G76+(G76*0.1)</formula>
    </cfRule>
    <cfRule type="cellIs" dxfId="74" priority="66" stopIfTrue="1" operator="lessThan">
      <formula>G76-(G76*0.1)</formula>
    </cfRule>
  </conditionalFormatting>
  <conditionalFormatting sqref="T120:T152">
    <cfRule type="cellIs" dxfId="73" priority="63" stopIfTrue="1" operator="greaterThan">
      <formula>S120+(S120*0.1)</formula>
    </cfRule>
    <cfRule type="cellIs" dxfId="72" priority="64" stopIfTrue="1" operator="lessThan">
      <formula>S120-(S120*0.1)</formula>
    </cfRule>
  </conditionalFormatting>
  <conditionalFormatting sqref="H473:H504 J473:J504 L473:L504 AJ473:AJ504 X473:X504 Z473:Z504 AB473:AB504 N473:N504 T473:T504 AN473:AN504 AP473:AP504 AR473:AR504 AT473:AT504 AD473:AD504">
    <cfRule type="cellIs" dxfId="71" priority="61" stopIfTrue="1" operator="greaterThan">
      <formula>G473+(G473*0.1)</formula>
    </cfRule>
    <cfRule type="cellIs" dxfId="70" priority="62" stopIfTrue="1" operator="lessThan">
      <formula>G473-(G473*0.1)</formula>
    </cfRule>
  </conditionalFormatting>
  <conditionalFormatting sqref="T710">
    <cfRule type="cellIs" dxfId="69" priority="163" stopIfTrue="1" operator="greaterThan">
      <formula>S666+(S666*0.1)</formula>
    </cfRule>
    <cfRule type="cellIs" dxfId="68" priority="164" stopIfTrue="1" operator="lessThan">
      <formula>S666-(S666*0.1)</formula>
    </cfRule>
  </conditionalFormatting>
  <conditionalFormatting sqref="T613:T707">
    <cfRule type="cellIs" dxfId="67" priority="165" stopIfTrue="1" operator="greaterThan">
      <formula>S610+(S610*0.1)</formula>
    </cfRule>
    <cfRule type="cellIs" dxfId="66" priority="166" stopIfTrue="1" operator="lessThan">
      <formula>S610-(S610*0.1)</formula>
    </cfRule>
  </conditionalFormatting>
  <conditionalFormatting sqref="J18">
    <cfRule type="cellIs" dxfId="65" priority="57" stopIfTrue="1" operator="greaterThan">
      <formula>I18+(I18*0.1)</formula>
    </cfRule>
    <cfRule type="cellIs" dxfId="64" priority="58" stopIfTrue="1" operator="lessThan">
      <formula>I18-(I18*0.1)</formula>
    </cfRule>
  </conditionalFormatting>
  <conditionalFormatting sqref="L18">
    <cfRule type="cellIs" dxfId="63" priority="55" stopIfTrue="1" operator="greaterThan">
      <formula>K18+(K18*0.1)</formula>
    </cfRule>
    <cfRule type="cellIs" dxfId="62" priority="56" stopIfTrue="1" operator="lessThan">
      <formula>K18-(K18*0.1)</formula>
    </cfRule>
  </conditionalFormatting>
  <conditionalFormatting sqref="N20">
    <cfRule type="cellIs" dxfId="61" priority="53" stopIfTrue="1" operator="greaterThan">
      <formula>M20+(M20*0.1)</formula>
    </cfRule>
    <cfRule type="cellIs" dxfId="60" priority="54" stopIfTrue="1" operator="lessThan">
      <formula>M20-(M20*0.1)</formula>
    </cfRule>
  </conditionalFormatting>
  <conditionalFormatting sqref="AR5">
    <cfRule type="cellIs" dxfId="59" priority="51" stopIfTrue="1" operator="greaterThan">
      <formula>AQ5+(AQ5*0.1)</formula>
    </cfRule>
    <cfRule type="cellIs" dxfId="58" priority="52" stopIfTrue="1" operator="lessThan">
      <formula>AQ5-(AQ5*0.1)</formula>
    </cfRule>
  </conditionalFormatting>
  <conditionalFormatting sqref="AT5">
    <cfRule type="cellIs" dxfId="57" priority="49" stopIfTrue="1" operator="greaterThan">
      <formula>AS5+(AS5*0.1)</formula>
    </cfRule>
    <cfRule type="cellIs" dxfId="56" priority="50" stopIfTrue="1" operator="lessThan">
      <formula>AS5-(AS5*0.1)</formula>
    </cfRule>
  </conditionalFormatting>
  <conditionalFormatting sqref="H305:H319 J305:J319 L305:L319 AJ305:AJ319 X305:X319 Z305:Z319 AB305:AB319 N305:N319 T305:T319 AN305:AN319 AP305:AP319 AR305:AR319 AT305:AT319 AD305:AD319">
    <cfRule type="cellIs" dxfId="55" priority="47" stopIfTrue="1" operator="greaterThan">
      <formula>G305+(G305*0.1)</formula>
    </cfRule>
    <cfRule type="cellIs" dxfId="54" priority="48" stopIfTrue="1" operator="lessThan">
      <formula>G305-(G305*0.1)</formula>
    </cfRule>
  </conditionalFormatting>
  <conditionalFormatting sqref="S81:S91 AI120:AI440 AI492:AI545 AI5:AI91 AI573:AI607">
    <cfRule type="expression" dxfId="53" priority="167" stopIfTrue="1">
      <formula>S5&lt;(O5-(O5*0.1))</formula>
    </cfRule>
    <cfRule type="expression" dxfId="52" priority="168" stopIfTrue="1">
      <formula>S5&gt;(O5+(O5*0.1))</formula>
    </cfRule>
  </conditionalFormatting>
  <conditionalFormatting sqref="T120:T151 T81:T91 T47 T59 T70 T72 AJ492:AJ545 AJ573:AJ607 AJ726:AJ730 AJ5:AJ440">
    <cfRule type="expression" dxfId="51" priority="169" stopIfTrue="1">
      <formula>T5&lt;(Q5-(Q5*0.1))</formula>
    </cfRule>
    <cfRule type="expression" dxfId="50" priority="170" stopIfTrue="1">
      <formula>T5&gt;(Q5+(Q5*0.1))</formula>
    </cfRule>
  </conditionalFormatting>
  <conditionalFormatting sqref="AI726:AI730">
    <cfRule type="expression" dxfId="49" priority="171" stopIfTrue="1">
      <formula>AI726&lt;(AE726-(AE726*0.1))</formula>
    </cfRule>
    <cfRule type="expression" dxfId="48" priority="172" stopIfTrue="1">
      <formula>AI726&gt;(AE726+(AE726*0.1))</formula>
    </cfRule>
  </conditionalFormatting>
  <conditionalFormatting sqref="T153:T180 H153:H180 J153:J180 L153:L180 X153:X180 Z153:Z180 AB153:AB180 N153:N180 AN153:AN180 AP153:AP180 AR153:AR180 AT153:AT180 AJ153:AJ180 AD153:AD180">
    <cfRule type="cellIs" dxfId="47" priority="45" stopIfTrue="1" operator="greaterThan">
      <formula>G153+(G153*0.1)</formula>
    </cfRule>
    <cfRule type="cellIs" dxfId="46" priority="46" stopIfTrue="1" operator="lessThan">
      <formula>G153-(G153*0.1)</formula>
    </cfRule>
  </conditionalFormatting>
  <conditionalFormatting sqref="J671:J672">
    <cfRule type="expression" dxfId="45" priority="43" stopIfTrue="1">
      <formula>J671&lt;(I671-(I671*0.1))</formula>
    </cfRule>
    <cfRule type="expression" dxfId="44" priority="44" stopIfTrue="1">
      <formula>J671&gt;(I671+(I671*0.1))</formula>
    </cfRule>
  </conditionalFormatting>
  <conditionalFormatting sqref="J671:J672">
    <cfRule type="cellIs" dxfId="43" priority="41" stopIfTrue="1" operator="greaterThan">
      <formula>I671+(I671*0.1)</formula>
    </cfRule>
    <cfRule type="cellIs" dxfId="42" priority="42" stopIfTrue="1" operator="lessThan">
      <formula>I671-(I671*0.1)</formula>
    </cfRule>
  </conditionalFormatting>
  <conditionalFormatting sqref="L671:L672">
    <cfRule type="expression" dxfId="41" priority="39" stopIfTrue="1">
      <formula>L671&lt;(K671-(K671*0.1))</formula>
    </cfRule>
    <cfRule type="expression" dxfId="40" priority="40" stopIfTrue="1">
      <formula>L671&gt;(K671+(K671*0.1))</formula>
    </cfRule>
  </conditionalFormatting>
  <conditionalFormatting sqref="L671:L672">
    <cfRule type="cellIs" dxfId="39" priority="37" stopIfTrue="1" operator="greaterThan">
      <formula>K671+(K671*0.1)</formula>
    </cfRule>
    <cfRule type="cellIs" dxfId="38" priority="38" stopIfTrue="1" operator="lessThan">
      <formula>K671-(K671*0.1)</formula>
    </cfRule>
  </conditionalFormatting>
  <conditionalFormatting sqref="N671:N672">
    <cfRule type="expression" dxfId="37" priority="35" stopIfTrue="1">
      <formula>N671&lt;(M671-(M671*0.1))</formula>
    </cfRule>
    <cfRule type="expression" dxfId="36" priority="36" stopIfTrue="1">
      <formula>N671&gt;(M671+(M671*0.1))</formula>
    </cfRule>
  </conditionalFormatting>
  <conditionalFormatting sqref="N671:N672">
    <cfRule type="cellIs" dxfId="35" priority="33" stopIfTrue="1" operator="greaterThan">
      <formula>M671+(M671*0.1)</formula>
    </cfRule>
    <cfRule type="cellIs" dxfId="34" priority="34" stopIfTrue="1" operator="lessThan">
      <formula>M671-(M671*0.1)</formula>
    </cfRule>
  </conditionalFormatting>
  <conditionalFormatting sqref="AP671:AP672">
    <cfRule type="expression" dxfId="33" priority="31" stopIfTrue="1">
      <formula>AP671&lt;(AO671-(AO671*0.1))</formula>
    </cfRule>
    <cfRule type="expression" dxfId="32" priority="32" stopIfTrue="1">
      <formula>AP671&gt;(AO671+(AO671*0.1))</formula>
    </cfRule>
  </conditionalFormatting>
  <conditionalFormatting sqref="AP671:AP672">
    <cfRule type="cellIs" dxfId="31" priority="29" stopIfTrue="1" operator="greaterThan">
      <formula>AO671+(AO671*0.1)</formula>
    </cfRule>
    <cfRule type="cellIs" dxfId="30" priority="30" stopIfTrue="1" operator="lessThan">
      <formula>AO671-(AO671*0.1)</formula>
    </cfRule>
  </conditionalFormatting>
  <conditionalFormatting sqref="AR671:AR672">
    <cfRule type="expression" dxfId="29" priority="27" stopIfTrue="1">
      <formula>AR671&lt;(AQ671-(AQ671*0.1))</formula>
    </cfRule>
    <cfRule type="expression" dxfId="28" priority="28" stopIfTrue="1">
      <formula>AR671&gt;(AQ671+(AQ671*0.1))</formula>
    </cfRule>
  </conditionalFormatting>
  <conditionalFormatting sqref="AR671:AR672">
    <cfRule type="cellIs" dxfId="27" priority="25" stopIfTrue="1" operator="greaterThan">
      <formula>AQ671+(AQ671*0.1)</formula>
    </cfRule>
    <cfRule type="cellIs" dxfId="26" priority="26" stopIfTrue="1" operator="lessThan">
      <formula>AQ671-(AQ671*0.1)</formula>
    </cfRule>
  </conditionalFormatting>
  <conditionalFormatting sqref="AT671:AT672">
    <cfRule type="expression" dxfId="25" priority="23" stopIfTrue="1">
      <formula>AT671&lt;(AS671-(AS671*0.1))</formula>
    </cfRule>
    <cfRule type="expression" dxfId="24" priority="24" stopIfTrue="1">
      <formula>AT671&gt;(AS671+(AS671*0.1))</formula>
    </cfRule>
  </conditionalFormatting>
  <conditionalFormatting sqref="AT671:AT672">
    <cfRule type="cellIs" dxfId="23" priority="21" stopIfTrue="1" operator="greaterThan">
      <formula>AS671+(AS671*0.1)</formula>
    </cfRule>
    <cfRule type="cellIs" dxfId="22" priority="22" stopIfTrue="1" operator="lessThan">
      <formula>AS671-(AS671*0.1)</formula>
    </cfRule>
  </conditionalFormatting>
  <conditionalFormatting sqref="T708:T709">
    <cfRule type="cellIs" dxfId="21" priority="175" stopIfTrue="1" operator="greaterThan">
      <formula>S704+(S704*0.1)</formula>
    </cfRule>
    <cfRule type="cellIs" dxfId="20" priority="176" stopIfTrue="1" operator="lessThan">
      <formula>S704-(S704*0.1)</formula>
    </cfRule>
  </conditionalFormatting>
  <conditionalFormatting sqref="AP669">
    <cfRule type="expression" dxfId="19" priority="19" stopIfTrue="1">
      <formula>AP669&lt;(AO669-(AO669*0.1))</formula>
    </cfRule>
    <cfRule type="expression" dxfId="18" priority="20" stopIfTrue="1">
      <formula>AP669&gt;(AO669+(AO669*0.1))</formula>
    </cfRule>
  </conditionalFormatting>
  <conditionalFormatting sqref="AP669">
    <cfRule type="cellIs" dxfId="17" priority="17" stopIfTrue="1" operator="greaterThan">
      <formula>AO669+(AO669*0.1)</formula>
    </cfRule>
    <cfRule type="cellIs" dxfId="16" priority="18" stopIfTrue="1" operator="lessThan">
      <formula>AO669-(AO669*0.1)</formula>
    </cfRule>
  </conditionalFormatting>
  <conditionalFormatting sqref="AP673:AP674">
    <cfRule type="expression" dxfId="15" priority="15" stopIfTrue="1">
      <formula>AP673&lt;(AO673-(AO673*0.1))</formula>
    </cfRule>
    <cfRule type="expression" dxfId="14" priority="16" stopIfTrue="1">
      <formula>AP673&gt;(AO673+(AO673*0.1))</formula>
    </cfRule>
  </conditionalFormatting>
  <conditionalFormatting sqref="AP673:AP674">
    <cfRule type="cellIs" dxfId="13" priority="13" stopIfTrue="1" operator="greaterThan">
      <formula>AO673+(AO673*0.1)</formula>
    </cfRule>
    <cfRule type="cellIs" dxfId="12" priority="14" stopIfTrue="1" operator="lessThan">
      <formula>AO673-(AO673*0.1)</formula>
    </cfRule>
  </conditionalFormatting>
  <conditionalFormatting sqref="AR669">
    <cfRule type="expression" dxfId="11" priority="11" stopIfTrue="1">
      <formula>AR669&lt;(AQ669-(AQ669*0.1))</formula>
    </cfRule>
    <cfRule type="expression" dxfId="10" priority="12" stopIfTrue="1">
      <formula>AR669&gt;(AQ669+(AQ669*0.1))</formula>
    </cfRule>
  </conditionalFormatting>
  <conditionalFormatting sqref="AR669">
    <cfRule type="cellIs" dxfId="9" priority="9" stopIfTrue="1" operator="greaterThan">
      <formula>AQ669+(AQ669*0.1)</formula>
    </cfRule>
    <cfRule type="cellIs" dxfId="8" priority="10" stopIfTrue="1" operator="lessThan">
      <formula>AQ669-(AQ669*0.1)</formula>
    </cfRule>
  </conditionalFormatting>
  <conditionalFormatting sqref="AR673:AR674">
    <cfRule type="expression" dxfId="7" priority="7" stopIfTrue="1">
      <formula>AR673&lt;(AQ673-(AQ673*0.1))</formula>
    </cfRule>
    <cfRule type="expression" dxfId="6" priority="8" stopIfTrue="1">
      <formula>AR673&gt;(AQ673+(AQ673*0.1))</formula>
    </cfRule>
  </conditionalFormatting>
  <conditionalFormatting sqref="AR673:AR674">
    <cfRule type="cellIs" dxfId="5" priority="5" stopIfTrue="1" operator="greaterThan">
      <formula>AQ673+(AQ673*0.1)</formula>
    </cfRule>
    <cfRule type="cellIs" dxfId="4" priority="6" stopIfTrue="1" operator="lessThan">
      <formula>AQ673-(AQ673*0.1)</formula>
    </cfRule>
  </conditionalFormatting>
  <conditionalFormatting sqref="AR676">
    <cfRule type="expression" dxfId="3" priority="3" stopIfTrue="1">
      <formula>AR676&lt;(AQ676-(AQ676*0.1))</formula>
    </cfRule>
    <cfRule type="expression" dxfId="2" priority="4" stopIfTrue="1">
      <formula>AR676&gt;(AQ676+(AQ676*0.1))</formula>
    </cfRule>
  </conditionalFormatting>
  <conditionalFormatting sqref="AR676">
    <cfRule type="cellIs" dxfId="1" priority="1" stopIfTrue="1" operator="greaterThan">
      <formula>AQ676+(AQ676*0.1)</formula>
    </cfRule>
    <cfRule type="cellIs" dxfId="0" priority="2" stopIfTrue="1" operator="lessThan">
      <formula>AQ676-(AQ676*0.1)</formula>
    </cfRule>
  </conditionalFormatting>
  <pageMargins left="0.75" right="0.75" top="1" bottom="1" header="0.5" footer="0.5"/>
  <pageSetup paperSize="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sheetPr>
    <tabColor rgb="FFFFFFCC"/>
  </sheetPr>
  <dimension ref="A1:AF208"/>
  <sheetViews>
    <sheetView workbookViewId="0">
      <selection sqref="A1:XFD1048576"/>
    </sheetView>
  </sheetViews>
  <sheetFormatPr defaultRowHeight="12.75"/>
  <cols>
    <col min="1" max="1" width="7.5" style="364" customWidth="1"/>
    <col min="2" max="2" width="46.83203125" style="365" customWidth="1"/>
    <col min="3" max="8" width="17.33203125" style="366" customWidth="1"/>
    <col min="9" max="9" width="18.1640625" style="366" customWidth="1"/>
    <col min="10" max="12" width="15.33203125" style="366" customWidth="1"/>
    <col min="13" max="13" width="15.33203125" style="367" customWidth="1"/>
    <col min="14" max="14" width="18.1640625" style="366" customWidth="1"/>
    <col min="15" max="17" width="14.5" style="363" customWidth="1"/>
    <col min="18" max="18" width="17.33203125" style="363" customWidth="1"/>
    <col min="19" max="19" width="8.6640625" style="363" customWidth="1"/>
    <col min="20" max="20" width="12.33203125" style="363" customWidth="1"/>
    <col min="21" max="21" width="11.1640625" style="363" customWidth="1"/>
    <col min="22" max="22" width="12.33203125" style="363" customWidth="1"/>
    <col min="23" max="23" width="7.5" style="363" customWidth="1"/>
    <col min="24" max="24" width="11" style="363" customWidth="1"/>
    <col min="25" max="25" width="10" style="363" customWidth="1"/>
    <col min="26" max="26" width="12.33203125" style="363" customWidth="1"/>
    <col min="27" max="27" width="10" style="363" bestFit="1" customWidth="1"/>
    <col min="28" max="28" width="12.33203125" style="363" customWidth="1"/>
    <col min="29" max="30" width="20.83203125" style="363" customWidth="1"/>
    <col min="31" max="31" width="11.83203125" style="363" customWidth="1"/>
    <col min="32" max="32" width="9.5" style="363" bestFit="1" customWidth="1"/>
    <col min="33" max="16384" width="9.33203125" style="363"/>
  </cols>
  <sheetData>
    <row r="1" spans="1:28" s="74" customFormat="1">
      <c r="A1" s="87"/>
      <c r="B1" s="86"/>
      <c r="C1" s="4"/>
      <c r="D1" s="4"/>
      <c r="E1" s="4"/>
      <c r="F1" s="4"/>
      <c r="G1" s="4"/>
      <c r="H1" s="4"/>
      <c r="I1" s="4"/>
      <c r="J1" s="4"/>
      <c r="K1" s="4"/>
      <c r="L1" s="4"/>
      <c r="M1" s="85"/>
      <c r="N1" s="4"/>
      <c r="S1" s="600"/>
      <c r="T1" s="600"/>
      <c r="U1" s="600"/>
      <c r="V1" s="600"/>
      <c r="W1" s="600"/>
      <c r="X1" s="600"/>
      <c r="Y1" s="600"/>
      <c r="Z1" s="600"/>
      <c r="AA1" s="600"/>
      <c r="AB1" s="600"/>
    </row>
    <row r="2" spans="1:28">
      <c r="A2" s="435"/>
      <c r="B2" s="436"/>
      <c r="C2" s="437"/>
      <c r="D2" s="438"/>
      <c r="E2" s="438"/>
      <c r="F2" s="438"/>
      <c r="G2" s="438"/>
      <c r="H2" s="438"/>
      <c r="I2" s="438"/>
      <c r="J2" s="448"/>
      <c r="K2" s="438"/>
      <c r="L2" s="438"/>
      <c r="M2" s="439"/>
      <c r="N2" s="441"/>
      <c r="O2" s="448"/>
      <c r="P2" s="438"/>
      <c r="Q2" s="438"/>
      <c r="R2" s="438"/>
      <c r="S2" s="607"/>
      <c r="T2" s="607"/>
      <c r="U2" s="607"/>
      <c r="V2" s="607"/>
      <c r="W2" s="607"/>
      <c r="X2" s="607"/>
      <c r="Y2" s="607"/>
      <c r="Z2" s="607"/>
      <c r="AA2" s="607"/>
      <c r="AB2" s="608"/>
    </row>
    <row r="3" spans="1:28" s="74" customFormat="1">
      <c r="A3" s="435"/>
      <c r="B3" s="436"/>
      <c r="C3" s="437"/>
      <c r="D3" s="438"/>
      <c r="E3" s="438"/>
      <c r="F3" s="438"/>
      <c r="G3" s="438"/>
      <c r="H3" s="438"/>
      <c r="I3" s="601"/>
      <c r="J3" s="437"/>
      <c r="K3" s="438"/>
      <c r="L3" s="438"/>
      <c r="M3" s="438"/>
      <c r="N3" s="601"/>
      <c r="O3" s="437"/>
      <c r="P3" s="438"/>
      <c r="Q3" s="438"/>
      <c r="R3" s="601"/>
      <c r="S3" s="603"/>
      <c r="T3" s="603"/>
      <c r="U3" s="603"/>
      <c r="V3" s="603"/>
      <c r="W3" s="603"/>
      <c r="X3" s="603"/>
      <c r="Y3" s="603"/>
      <c r="Z3" s="603"/>
      <c r="AA3" s="603"/>
      <c r="AB3" s="605"/>
    </row>
    <row r="4" spans="1:28">
      <c r="A4" s="435"/>
      <c r="B4" s="440"/>
      <c r="C4" s="450"/>
      <c r="D4" s="451"/>
      <c r="E4" s="451"/>
      <c r="F4" s="451"/>
      <c r="G4" s="451"/>
      <c r="H4" s="451"/>
      <c r="I4" s="602"/>
      <c r="J4" s="452"/>
      <c r="K4" s="453"/>
      <c r="L4" s="453"/>
      <c r="M4" s="453"/>
      <c r="N4" s="602"/>
      <c r="O4" s="452"/>
      <c r="P4" s="453"/>
      <c r="Q4" s="451"/>
      <c r="R4" s="602"/>
      <c r="S4" s="612"/>
      <c r="T4" s="609"/>
      <c r="U4" s="612"/>
      <c r="V4" s="609"/>
      <c r="W4" s="603"/>
      <c r="X4" s="610"/>
      <c r="Y4" s="603"/>
      <c r="Z4" s="610"/>
      <c r="AA4" s="603"/>
      <c r="AB4" s="611"/>
    </row>
    <row r="5" spans="1:28">
      <c r="A5" s="442"/>
      <c r="B5" s="440"/>
      <c r="C5" s="437"/>
      <c r="D5" s="441"/>
      <c r="E5" s="441"/>
      <c r="F5" s="441"/>
      <c r="G5" s="441"/>
      <c r="H5" s="441"/>
      <c r="I5" s="437"/>
      <c r="J5" s="437"/>
      <c r="K5" s="441"/>
      <c r="L5" s="441"/>
      <c r="M5" s="441"/>
      <c r="N5" s="437"/>
      <c r="O5" s="437"/>
      <c r="P5" s="441"/>
      <c r="Q5" s="441"/>
      <c r="R5" s="437"/>
      <c r="S5" s="603"/>
      <c r="T5" s="603"/>
      <c r="U5" s="603"/>
      <c r="V5" s="603"/>
      <c r="W5" s="603"/>
      <c r="X5" s="603"/>
      <c r="Y5" s="603"/>
      <c r="Z5" s="603"/>
      <c r="AA5" s="603"/>
      <c r="AB5" s="605"/>
    </row>
    <row r="6" spans="1:28">
      <c r="A6" s="443"/>
      <c r="B6" s="444"/>
      <c r="C6" s="445"/>
      <c r="D6" s="446"/>
      <c r="E6" s="446"/>
      <c r="F6" s="446"/>
      <c r="G6" s="446"/>
      <c r="H6" s="446"/>
      <c r="I6" s="445"/>
      <c r="J6" s="445"/>
      <c r="K6" s="446"/>
      <c r="L6" s="446"/>
      <c r="M6" s="446"/>
      <c r="N6" s="445"/>
      <c r="O6" s="445"/>
      <c r="P6" s="446"/>
      <c r="Q6" s="446"/>
      <c r="R6" s="445"/>
      <c r="S6" s="604"/>
      <c r="T6" s="604"/>
      <c r="U6" s="604"/>
      <c r="V6" s="604"/>
      <c r="W6" s="604"/>
      <c r="X6" s="604"/>
      <c r="Y6" s="604"/>
      <c r="Z6" s="604"/>
      <c r="AA6" s="604"/>
      <c r="AB6" s="606"/>
    </row>
    <row r="7" spans="1:28" s="74" customFormat="1">
      <c r="A7" s="443"/>
      <c r="B7" s="447"/>
      <c r="C7" s="613"/>
      <c r="D7" s="614"/>
      <c r="E7" s="614"/>
      <c r="F7" s="614"/>
      <c r="G7" s="614"/>
      <c r="H7" s="614"/>
      <c r="I7" s="613"/>
      <c r="J7" s="613"/>
      <c r="K7" s="614"/>
      <c r="L7" s="625"/>
      <c r="M7" s="614"/>
      <c r="N7" s="613"/>
      <c r="O7" s="625"/>
      <c r="P7" s="625"/>
      <c r="Q7" s="614"/>
      <c r="R7" s="613"/>
      <c r="S7" s="615"/>
      <c r="T7" s="615"/>
      <c r="U7" s="615"/>
      <c r="V7" s="615"/>
      <c r="W7" s="615"/>
      <c r="X7" s="615"/>
      <c r="Y7" s="615"/>
      <c r="Z7" s="615"/>
      <c r="AA7" s="615"/>
      <c r="AB7" s="616"/>
    </row>
    <row r="8" spans="1:28" s="74" customFormat="1">
      <c r="A8" s="443"/>
      <c r="B8" s="444"/>
      <c r="C8" s="445"/>
      <c r="D8" s="446"/>
      <c r="E8" s="446"/>
      <c r="F8" s="446"/>
      <c r="G8" s="446"/>
      <c r="H8" s="446"/>
      <c r="I8" s="445"/>
      <c r="J8" s="445"/>
      <c r="K8" s="446"/>
      <c r="L8" s="446"/>
      <c r="M8" s="446"/>
      <c r="N8" s="445"/>
      <c r="O8" s="618"/>
      <c r="P8" s="446"/>
      <c r="Q8" s="446"/>
      <c r="R8" s="445"/>
      <c r="S8" s="604"/>
      <c r="T8" s="604"/>
      <c r="U8" s="604"/>
      <c r="V8" s="604"/>
      <c r="W8" s="604"/>
      <c r="X8" s="604"/>
      <c r="Y8" s="604"/>
      <c r="Z8" s="604"/>
      <c r="AA8" s="604"/>
      <c r="AB8" s="606"/>
    </row>
    <row r="9" spans="1:28" s="74" customFormat="1">
      <c r="A9" s="443"/>
      <c r="B9" s="444"/>
      <c r="C9" s="445"/>
      <c r="D9" s="446"/>
      <c r="E9" s="446"/>
      <c r="F9" s="446"/>
      <c r="G9" s="446"/>
      <c r="H9" s="446"/>
      <c r="I9" s="445"/>
      <c r="J9" s="445"/>
      <c r="K9" s="446"/>
      <c r="L9" s="446"/>
      <c r="M9" s="446"/>
      <c r="N9" s="445"/>
      <c r="O9" s="618"/>
      <c r="P9" s="446"/>
      <c r="Q9" s="446"/>
      <c r="R9" s="445"/>
      <c r="S9" s="604"/>
      <c r="T9" s="604"/>
      <c r="U9" s="604"/>
      <c r="V9" s="604"/>
      <c r="W9" s="604"/>
      <c r="X9" s="604"/>
      <c r="Y9" s="604"/>
      <c r="Z9" s="604"/>
      <c r="AA9" s="604"/>
      <c r="AB9" s="606"/>
    </row>
    <row r="10" spans="1:28" s="74" customFormat="1">
      <c r="A10" s="443"/>
      <c r="B10" s="447"/>
      <c r="C10" s="613"/>
      <c r="D10" s="614"/>
      <c r="E10" s="614"/>
      <c r="F10" s="614"/>
      <c r="G10" s="614"/>
      <c r="H10" s="614"/>
      <c r="I10" s="613"/>
      <c r="J10" s="613"/>
      <c r="K10" s="614"/>
      <c r="L10" s="614"/>
      <c r="M10" s="614"/>
      <c r="N10" s="613"/>
      <c r="O10" s="617"/>
      <c r="P10" s="614"/>
      <c r="Q10" s="614"/>
      <c r="R10" s="613"/>
      <c r="S10" s="615"/>
      <c r="T10" s="615"/>
      <c r="U10" s="615"/>
      <c r="V10" s="615"/>
      <c r="W10" s="615"/>
      <c r="X10" s="615"/>
      <c r="Y10" s="615"/>
      <c r="Z10" s="615"/>
      <c r="AA10" s="615"/>
      <c r="AB10" s="616"/>
    </row>
    <row r="11" spans="1:28" s="74" customFormat="1">
      <c r="A11" s="443"/>
      <c r="B11" s="444"/>
      <c r="C11" s="445"/>
      <c r="D11" s="446"/>
      <c r="E11" s="446"/>
      <c r="F11" s="446"/>
      <c r="G11" s="446"/>
      <c r="H11" s="446"/>
      <c r="I11" s="445"/>
      <c r="J11" s="445"/>
      <c r="K11" s="446"/>
      <c r="L11" s="446"/>
      <c r="M11" s="446"/>
      <c r="N11" s="445"/>
      <c r="O11" s="618"/>
      <c r="P11" s="446"/>
      <c r="Q11" s="446"/>
      <c r="R11" s="445"/>
      <c r="S11" s="604"/>
      <c r="T11" s="604"/>
      <c r="U11" s="604"/>
      <c r="V11" s="604"/>
      <c r="W11" s="604"/>
      <c r="X11" s="604"/>
      <c r="Y11" s="604"/>
      <c r="Z11" s="604"/>
      <c r="AA11" s="604"/>
      <c r="AB11" s="606"/>
    </row>
    <row r="12" spans="1:28" s="74" customFormat="1">
      <c r="A12" s="443"/>
      <c r="B12" s="444"/>
      <c r="C12" s="445"/>
      <c r="D12" s="446"/>
      <c r="E12" s="446"/>
      <c r="F12" s="446"/>
      <c r="G12" s="446"/>
      <c r="H12" s="446"/>
      <c r="I12" s="445"/>
      <c r="J12" s="445"/>
      <c r="K12" s="446"/>
      <c r="L12" s="446"/>
      <c r="M12" s="446"/>
      <c r="N12" s="445"/>
      <c r="O12" s="618"/>
      <c r="P12" s="446"/>
      <c r="Q12" s="446"/>
      <c r="R12" s="445"/>
      <c r="S12" s="604"/>
      <c r="T12" s="604"/>
      <c r="U12" s="604"/>
      <c r="V12" s="604"/>
      <c r="W12" s="604"/>
      <c r="X12" s="604"/>
      <c r="Y12" s="604"/>
      <c r="Z12" s="604"/>
      <c r="AA12" s="604"/>
      <c r="AB12" s="606"/>
    </row>
    <row r="13" spans="1:28" s="74" customFormat="1">
      <c r="A13" s="443"/>
      <c r="B13" s="447"/>
      <c r="C13" s="613"/>
      <c r="D13" s="614"/>
      <c r="E13" s="614"/>
      <c r="F13" s="625"/>
      <c r="G13" s="625"/>
      <c r="H13" s="614"/>
      <c r="I13" s="613"/>
      <c r="J13" s="613"/>
      <c r="K13" s="614"/>
      <c r="L13" s="614"/>
      <c r="M13" s="614"/>
      <c r="N13" s="613"/>
      <c r="O13" s="617"/>
      <c r="P13" s="614"/>
      <c r="Q13" s="614"/>
      <c r="R13" s="613"/>
      <c r="S13" s="615"/>
      <c r="T13" s="615"/>
      <c r="U13" s="615"/>
      <c r="V13" s="615"/>
      <c r="W13" s="615"/>
      <c r="X13" s="615"/>
      <c r="Y13" s="615"/>
      <c r="Z13" s="615"/>
      <c r="AA13" s="615"/>
      <c r="AB13" s="616"/>
    </row>
    <row r="14" spans="1:28" s="74" customFormat="1">
      <c r="A14" s="443"/>
      <c r="B14" s="444"/>
      <c r="C14" s="445"/>
      <c r="D14" s="446"/>
      <c r="E14" s="446"/>
      <c r="F14" s="446"/>
      <c r="G14" s="446"/>
      <c r="H14" s="446"/>
      <c r="I14" s="445"/>
      <c r="J14" s="445"/>
      <c r="K14" s="446"/>
      <c r="L14" s="446"/>
      <c r="M14" s="446"/>
      <c r="N14" s="445"/>
      <c r="O14" s="618"/>
      <c r="P14" s="446"/>
      <c r="Q14" s="446"/>
      <c r="R14" s="445"/>
      <c r="S14" s="604"/>
      <c r="T14" s="604"/>
      <c r="U14" s="604"/>
      <c r="V14" s="604"/>
      <c r="W14" s="604"/>
      <c r="X14" s="604"/>
      <c r="Y14" s="604"/>
      <c r="Z14" s="604"/>
      <c r="AA14" s="604"/>
      <c r="AB14" s="606"/>
    </row>
    <row r="15" spans="1:28" s="74" customFormat="1">
      <c r="A15" s="443"/>
      <c r="B15" s="444"/>
      <c r="C15" s="445"/>
      <c r="D15" s="446"/>
      <c r="E15" s="446"/>
      <c r="F15" s="446"/>
      <c r="G15" s="446"/>
      <c r="H15" s="446"/>
      <c r="I15" s="445"/>
      <c r="J15" s="445"/>
      <c r="K15" s="446"/>
      <c r="L15" s="446"/>
      <c r="M15" s="446"/>
      <c r="N15" s="445"/>
      <c r="O15" s="618"/>
      <c r="P15" s="446"/>
      <c r="Q15" s="446"/>
      <c r="R15" s="445"/>
      <c r="S15" s="604"/>
      <c r="T15" s="604"/>
      <c r="U15" s="604"/>
      <c r="V15" s="604"/>
      <c r="W15" s="604"/>
      <c r="X15" s="604"/>
      <c r="Y15" s="604"/>
      <c r="Z15" s="604"/>
      <c r="AA15" s="604"/>
      <c r="AB15" s="606"/>
    </row>
    <row r="16" spans="1:28" s="74" customFormat="1">
      <c r="A16" s="443"/>
      <c r="B16" s="447"/>
      <c r="C16" s="613"/>
      <c r="D16" s="614"/>
      <c r="E16" s="614"/>
      <c r="F16" s="614"/>
      <c r="G16" s="614"/>
      <c r="H16" s="614"/>
      <c r="I16" s="613"/>
      <c r="J16" s="613"/>
      <c r="K16" s="614"/>
      <c r="L16" s="614"/>
      <c r="M16" s="614"/>
      <c r="N16" s="613"/>
      <c r="O16" s="619"/>
      <c r="P16" s="614"/>
      <c r="Q16" s="614"/>
      <c r="R16" s="613"/>
      <c r="S16" s="615"/>
      <c r="T16" s="615"/>
      <c r="U16" s="615"/>
      <c r="V16" s="615"/>
      <c r="W16" s="615"/>
      <c r="X16" s="615"/>
      <c r="Y16" s="615"/>
      <c r="Z16" s="615"/>
      <c r="AA16" s="615"/>
      <c r="AB16" s="616"/>
    </row>
    <row r="17" spans="1:28" s="74" customFormat="1">
      <c r="A17" s="442"/>
      <c r="B17" s="440"/>
      <c r="C17" s="437"/>
      <c r="D17" s="441"/>
      <c r="E17" s="441"/>
      <c r="F17" s="441"/>
      <c r="G17" s="441"/>
      <c r="H17" s="441"/>
      <c r="I17" s="437"/>
      <c r="J17" s="437"/>
      <c r="K17" s="441"/>
      <c r="L17" s="441"/>
      <c r="M17" s="441"/>
      <c r="N17" s="437"/>
      <c r="O17" s="437"/>
      <c r="P17" s="441"/>
      <c r="Q17" s="441"/>
      <c r="R17" s="437"/>
      <c r="S17" s="603"/>
      <c r="T17" s="603"/>
      <c r="U17" s="603"/>
      <c r="V17" s="603"/>
      <c r="W17" s="603"/>
      <c r="X17" s="603"/>
      <c r="Y17" s="603"/>
      <c r="Z17" s="603"/>
      <c r="AA17" s="603"/>
      <c r="AB17" s="605"/>
    </row>
    <row r="18" spans="1:28" s="74" customFormat="1">
      <c r="A18" s="443"/>
      <c r="B18" s="444"/>
      <c r="C18" s="445"/>
      <c r="D18" s="446"/>
      <c r="E18" s="446"/>
      <c r="F18" s="446"/>
      <c r="G18" s="446"/>
      <c r="H18" s="446"/>
      <c r="I18" s="445"/>
      <c r="J18" s="445"/>
      <c r="K18" s="446"/>
      <c r="L18" s="446"/>
      <c r="M18" s="446"/>
      <c r="N18" s="445"/>
      <c r="O18" s="445"/>
      <c r="P18" s="446"/>
      <c r="Q18" s="446"/>
      <c r="R18" s="445"/>
      <c r="S18" s="604"/>
      <c r="T18" s="604"/>
      <c r="U18" s="604"/>
      <c r="V18" s="604"/>
      <c r="W18" s="604"/>
      <c r="X18" s="604"/>
      <c r="Y18" s="604"/>
      <c r="Z18" s="604"/>
      <c r="AA18" s="604"/>
      <c r="AB18" s="606"/>
    </row>
    <row r="19" spans="1:28" s="74" customFormat="1">
      <c r="A19" s="443"/>
      <c r="B19" s="447"/>
      <c r="C19" s="613"/>
      <c r="D19" s="614"/>
      <c r="E19" s="614"/>
      <c r="F19" s="614"/>
      <c r="G19" s="625"/>
      <c r="H19" s="625"/>
      <c r="I19" s="613"/>
      <c r="J19" s="613"/>
      <c r="K19" s="614"/>
      <c r="L19" s="614"/>
      <c r="M19" s="614"/>
      <c r="N19" s="613"/>
      <c r="O19" s="617"/>
      <c r="P19" s="614"/>
      <c r="Q19" s="614"/>
      <c r="R19" s="613"/>
      <c r="S19" s="615"/>
      <c r="T19" s="615"/>
      <c r="U19" s="615"/>
      <c r="V19" s="615"/>
      <c r="W19" s="615"/>
      <c r="X19" s="615"/>
      <c r="Y19" s="615"/>
      <c r="Z19" s="615"/>
      <c r="AA19" s="615"/>
      <c r="AB19" s="616"/>
    </row>
    <row r="20" spans="1:28" s="74" customFormat="1">
      <c r="A20" s="443"/>
      <c r="B20" s="444"/>
      <c r="C20" s="445"/>
      <c r="D20" s="446"/>
      <c r="E20" s="446"/>
      <c r="F20" s="446"/>
      <c r="G20" s="446"/>
      <c r="H20" s="446"/>
      <c r="I20" s="445"/>
      <c r="J20" s="445"/>
      <c r="K20" s="446"/>
      <c r="L20" s="446"/>
      <c r="M20" s="446"/>
      <c r="N20" s="445"/>
      <c r="O20" s="618"/>
      <c r="P20" s="446"/>
      <c r="Q20" s="446"/>
      <c r="R20" s="445"/>
      <c r="S20" s="604"/>
      <c r="T20" s="604"/>
      <c r="U20" s="604"/>
      <c r="V20" s="604"/>
      <c r="W20" s="604"/>
      <c r="X20" s="604"/>
      <c r="Y20" s="604"/>
      <c r="Z20" s="604"/>
      <c r="AA20" s="604"/>
      <c r="AB20" s="606"/>
    </row>
    <row r="21" spans="1:28" s="74" customFormat="1">
      <c r="A21" s="443"/>
      <c r="B21" s="444"/>
      <c r="C21" s="445"/>
      <c r="D21" s="446"/>
      <c r="E21" s="446"/>
      <c r="F21" s="446"/>
      <c r="G21" s="446"/>
      <c r="H21" s="446"/>
      <c r="I21" s="445"/>
      <c r="J21" s="445"/>
      <c r="K21" s="446"/>
      <c r="L21" s="446"/>
      <c r="M21" s="446"/>
      <c r="N21" s="445"/>
      <c r="O21" s="618"/>
      <c r="P21" s="446"/>
      <c r="Q21" s="446"/>
      <c r="R21" s="445"/>
      <c r="S21" s="604"/>
      <c r="T21" s="604"/>
      <c r="U21" s="604"/>
      <c r="V21" s="604"/>
      <c r="W21" s="604"/>
      <c r="X21" s="604"/>
      <c r="Y21" s="604"/>
      <c r="Z21" s="604"/>
      <c r="AA21" s="604"/>
      <c r="AB21" s="606"/>
    </row>
    <row r="22" spans="1:28" s="74" customFormat="1">
      <c r="A22" s="443"/>
      <c r="B22" s="447"/>
      <c r="C22" s="613"/>
      <c r="D22" s="614"/>
      <c r="E22" s="614"/>
      <c r="F22" s="614"/>
      <c r="G22" s="614"/>
      <c r="H22" s="614"/>
      <c r="I22" s="613"/>
      <c r="J22" s="613"/>
      <c r="K22" s="614"/>
      <c r="L22" s="614"/>
      <c r="M22" s="614"/>
      <c r="N22" s="613"/>
      <c r="O22" s="617"/>
      <c r="P22" s="614"/>
      <c r="Q22" s="614"/>
      <c r="R22" s="613"/>
      <c r="S22" s="615"/>
      <c r="T22" s="615"/>
      <c r="U22" s="615"/>
      <c r="V22" s="615"/>
      <c r="W22" s="615"/>
      <c r="X22" s="615"/>
      <c r="Y22" s="615"/>
      <c r="Z22" s="615"/>
      <c r="AA22" s="615"/>
      <c r="AB22" s="616"/>
    </row>
    <row r="23" spans="1:28" s="74" customFormat="1">
      <c r="A23" s="443"/>
      <c r="B23" s="444"/>
      <c r="C23" s="445"/>
      <c r="D23" s="446"/>
      <c r="E23" s="446"/>
      <c r="F23" s="446"/>
      <c r="G23" s="446"/>
      <c r="H23" s="446"/>
      <c r="I23" s="445"/>
      <c r="J23" s="445"/>
      <c r="K23" s="446"/>
      <c r="L23" s="446"/>
      <c r="M23" s="446"/>
      <c r="N23" s="445"/>
      <c r="O23" s="618"/>
      <c r="P23" s="446"/>
      <c r="Q23" s="446"/>
      <c r="R23" s="445"/>
      <c r="S23" s="604"/>
      <c r="T23" s="604"/>
      <c r="U23" s="604"/>
      <c r="V23" s="604"/>
      <c r="W23" s="604"/>
      <c r="X23" s="604"/>
      <c r="Y23" s="604"/>
      <c r="Z23" s="604"/>
      <c r="AA23" s="604"/>
      <c r="AB23" s="606"/>
    </row>
    <row r="24" spans="1:28" s="74" customFormat="1">
      <c r="A24" s="443"/>
      <c r="B24" s="444"/>
      <c r="C24" s="445"/>
      <c r="D24" s="446"/>
      <c r="E24" s="446"/>
      <c r="F24" s="446"/>
      <c r="G24" s="446"/>
      <c r="H24" s="446"/>
      <c r="I24" s="445"/>
      <c r="J24" s="445"/>
      <c r="K24" s="446"/>
      <c r="L24" s="446"/>
      <c r="M24" s="446"/>
      <c r="N24" s="445"/>
      <c r="O24" s="618"/>
      <c r="P24" s="446"/>
      <c r="Q24" s="446"/>
      <c r="R24" s="445"/>
      <c r="S24" s="604"/>
      <c r="T24" s="604"/>
      <c r="U24" s="604"/>
      <c r="V24" s="604"/>
      <c r="W24" s="604"/>
      <c r="X24" s="604"/>
      <c r="Y24" s="604"/>
      <c r="Z24" s="604"/>
      <c r="AA24" s="604"/>
      <c r="AB24" s="606"/>
    </row>
    <row r="25" spans="1:28" s="74" customFormat="1">
      <c r="A25" s="443"/>
      <c r="B25" s="447"/>
      <c r="C25" s="613"/>
      <c r="D25" s="614"/>
      <c r="E25" s="625"/>
      <c r="F25" s="614"/>
      <c r="G25" s="614"/>
      <c r="H25" s="614"/>
      <c r="I25" s="613"/>
      <c r="J25" s="613"/>
      <c r="K25" s="614"/>
      <c r="L25" s="614"/>
      <c r="M25" s="614"/>
      <c r="N25" s="613"/>
      <c r="O25" s="617"/>
      <c r="P25" s="614"/>
      <c r="Q25" s="614"/>
      <c r="R25" s="613"/>
      <c r="S25" s="615"/>
      <c r="T25" s="615"/>
      <c r="U25" s="615"/>
      <c r="V25" s="615"/>
      <c r="W25" s="615"/>
      <c r="X25" s="615"/>
      <c r="Y25" s="615"/>
      <c r="Z25" s="615"/>
      <c r="AA25" s="615"/>
      <c r="AB25" s="616"/>
    </row>
    <row r="26" spans="1:28" s="74" customFormat="1">
      <c r="A26" s="443"/>
      <c r="B26" s="444"/>
      <c r="C26" s="445"/>
      <c r="D26" s="446"/>
      <c r="E26" s="446"/>
      <c r="F26" s="446"/>
      <c r="G26" s="446"/>
      <c r="H26" s="446"/>
      <c r="I26" s="445"/>
      <c r="J26" s="445"/>
      <c r="K26" s="446"/>
      <c r="L26" s="446"/>
      <c r="M26" s="446"/>
      <c r="N26" s="445"/>
      <c r="O26" s="618"/>
      <c r="P26" s="446"/>
      <c r="Q26" s="446"/>
      <c r="R26" s="445"/>
      <c r="S26" s="604"/>
      <c r="T26" s="604"/>
      <c r="U26" s="604"/>
      <c r="V26" s="604"/>
      <c r="W26" s="604"/>
      <c r="X26" s="604"/>
      <c r="Y26" s="604"/>
      <c r="Z26" s="604"/>
      <c r="AA26" s="604"/>
      <c r="AB26" s="606"/>
    </row>
    <row r="27" spans="1:28" s="74" customFormat="1">
      <c r="A27" s="443"/>
      <c r="B27" s="444"/>
      <c r="C27" s="445"/>
      <c r="D27" s="446"/>
      <c r="E27" s="446"/>
      <c r="F27" s="446"/>
      <c r="G27" s="446"/>
      <c r="H27" s="446"/>
      <c r="I27" s="445"/>
      <c r="J27" s="445"/>
      <c r="K27" s="446"/>
      <c r="L27" s="446"/>
      <c r="M27" s="446"/>
      <c r="N27" s="445"/>
      <c r="O27" s="618"/>
      <c r="P27" s="446"/>
      <c r="Q27" s="446"/>
      <c r="R27" s="445"/>
      <c r="S27" s="604"/>
      <c r="T27" s="604"/>
      <c r="U27" s="604"/>
      <c r="V27" s="604"/>
      <c r="W27" s="604"/>
      <c r="X27" s="604"/>
      <c r="Y27" s="604"/>
      <c r="Z27" s="604"/>
      <c r="AA27" s="604"/>
      <c r="AB27" s="606"/>
    </row>
    <row r="28" spans="1:28" s="74" customFormat="1">
      <c r="A28" s="443"/>
      <c r="B28" s="447"/>
      <c r="C28" s="613"/>
      <c r="D28" s="614"/>
      <c r="E28" s="614"/>
      <c r="F28" s="614"/>
      <c r="G28" s="614"/>
      <c r="H28" s="614"/>
      <c r="I28" s="613"/>
      <c r="J28" s="613"/>
      <c r="K28" s="614"/>
      <c r="L28" s="614"/>
      <c r="M28" s="614"/>
      <c r="N28" s="613"/>
      <c r="O28" s="619"/>
      <c r="P28" s="614"/>
      <c r="Q28" s="614"/>
      <c r="R28" s="613"/>
      <c r="S28" s="615"/>
      <c r="T28" s="615"/>
      <c r="U28" s="615"/>
      <c r="V28" s="615"/>
      <c r="W28" s="615"/>
      <c r="X28" s="615"/>
      <c r="Y28" s="615"/>
      <c r="Z28" s="615"/>
      <c r="AA28" s="615"/>
      <c r="AB28" s="616"/>
    </row>
    <row r="29" spans="1:28" s="74" customFormat="1">
      <c r="A29" s="442"/>
      <c r="B29" s="440"/>
      <c r="C29" s="437"/>
      <c r="D29" s="441"/>
      <c r="E29" s="441"/>
      <c r="F29" s="441"/>
      <c r="G29" s="441"/>
      <c r="H29" s="441"/>
      <c r="I29" s="437"/>
      <c r="J29" s="437"/>
      <c r="K29" s="441"/>
      <c r="L29" s="441"/>
      <c r="M29" s="441"/>
      <c r="N29" s="437"/>
      <c r="O29" s="437"/>
      <c r="P29" s="441"/>
      <c r="Q29" s="441"/>
      <c r="R29" s="437"/>
      <c r="S29" s="603"/>
      <c r="T29" s="603"/>
      <c r="U29" s="603"/>
      <c r="V29" s="603"/>
      <c r="W29" s="603"/>
      <c r="X29" s="603"/>
      <c r="Y29" s="603"/>
      <c r="Z29" s="603"/>
      <c r="AA29" s="603"/>
      <c r="AB29" s="605"/>
    </row>
    <row r="30" spans="1:28" s="74" customFormat="1">
      <c r="A30" s="443"/>
      <c r="B30" s="444"/>
      <c r="C30" s="445"/>
      <c r="D30" s="446"/>
      <c r="E30" s="446"/>
      <c r="F30" s="446"/>
      <c r="G30" s="446"/>
      <c r="H30" s="446"/>
      <c r="I30" s="445"/>
      <c r="J30" s="445"/>
      <c r="K30" s="446"/>
      <c r="L30" s="446"/>
      <c r="M30" s="446"/>
      <c r="N30" s="445"/>
      <c r="O30" s="445"/>
      <c r="P30" s="446"/>
      <c r="Q30" s="446"/>
      <c r="R30" s="445"/>
      <c r="S30" s="604"/>
      <c r="T30" s="604"/>
      <c r="U30" s="604"/>
      <c r="V30" s="604"/>
      <c r="W30" s="604"/>
      <c r="X30" s="604"/>
      <c r="Y30" s="604"/>
      <c r="Z30" s="604"/>
      <c r="AA30" s="604"/>
      <c r="AB30" s="606"/>
    </row>
    <row r="31" spans="1:28" s="74" customFormat="1">
      <c r="A31" s="443"/>
      <c r="B31" s="447"/>
      <c r="C31" s="613"/>
      <c r="D31" s="614"/>
      <c r="E31" s="614"/>
      <c r="F31" s="614"/>
      <c r="G31" s="614"/>
      <c r="H31" s="614"/>
      <c r="I31" s="613"/>
      <c r="J31" s="613"/>
      <c r="K31" s="614"/>
      <c r="L31" s="614"/>
      <c r="M31" s="614"/>
      <c r="N31" s="613"/>
      <c r="O31" s="617"/>
      <c r="P31" s="614"/>
      <c r="Q31" s="614"/>
      <c r="R31" s="613"/>
      <c r="S31" s="615"/>
      <c r="T31" s="615"/>
      <c r="U31" s="615"/>
      <c r="V31" s="615"/>
      <c r="W31" s="615"/>
      <c r="X31" s="615"/>
      <c r="Y31" s="615"/>
      <c r="Z31" s="615"/>
      <c r="AA31" s="615"/>
      <c r="AB31" s="616"/>
    </row>
    <row r="32" spans="1:28" s="74" customFormat="1">
      <c r="A32" s="443"/>
      <c r="B32" s="444"/>
      <c r="C32" s="445"/>
      <c r="D32" s="446"/>
      <c r="E32" s="446"/>
      <c r="F32" s="446"/>
      <c r="G32" s="446"/>
      <c r="H32" s="446"/>
      <c r="I32" s="445"/>
      <c r="J32" s="445"/>
      <c r="K32" s="446"/>
      <c r="L32" s="446"/>
      <c r="M32" s="446"/>
      <c r="N32" s="445"/>
      <c r="O32" s="618"/>
      <c r="P32" s="446"/>
      <c r="Q32" s="446"/>
      <c r="R32" s="445"/>
      <c r="S32" s="604"/>
      <c r="T32" s="604"/>
      <c r="U32" s="604"/>
      <c r="V32" s="604"/>
      <c r="W32" s="604"/>
      <c r="X32" s="604"/>
      <c r="Y32" s="604"/>
      <c r="Z32" s="604"/>
      <c r="AA32" s="604"/>
      <c r="AB32" s="606"/>
    </row>
    <row r="33" spans="1:28" s="74" customFormat="1">
      <c r="A33" s="443"/>
      <c r="B33" s="444"/>
      <c r="C33" s="445"/>
      <c r="D33" s="446"/>
      <c r="E33" s="446"/>
      <c r="F33" s="446"/>
      <c r="G33" s="446"/>
      <c r="H33" s="446"/>
      <c r="I33" s="445"/>
      <c r="J33" s="445"/>
      <c r="K33" s="446"/>
      <c r="L33" s="446"/>
      <c r="M33" s="446"/>
      <c r="N33" s="445"/>
      <c r="O33" s="618"/>
      <c r="P33" s="446"/>
      <c r="Q33" s="446"/>
      <c r="R33" s="445"/>
      <c r="S33" s="604"/>
      <c r="T33" s="604"/>
      <c r="U33" s="604"/>
      <c r="V33" s="604"/>
      <c r="W33" s="604"/>
      <c r="X33" s="604"/>
      <c r="Y33" s="604"/>
      <c r="Z33" s="604"/>
      <c r="AA33" s="604"/>
      <c r="AB33" s="606"/>
    </row>
    <row r="34" spans="1:28" s="74" customFormat="1">
      <c r="A34" s="443"/>
      <c r="B34" s="447"/>
      <c r="C34" s="613"/>
      <c r="D34" s="614"/>
      <c r="E34" s="614"/>
      <c r="F34" s="614"/>
      <c r="G34" s="614"/>
      <c r="H34" s="614"/>
      <c r="I34" s="613"/>
      <c r="J34" s="613"/>
      <c r="K34" s="614"/>
      <c r="L34" s="614"/>
      <c r="M34" s="614"/>
      <c r="N34" s="613"/>
      <c r="O34" s="617"/>
      <c r="P34" s="614"/>
      <c r="Q34" s="614"/>
      <c r="R34" s="613"/>
      <c r="S34" s="615"/>
      <c r="T34" s="615"/>
      <c r="U34" s="615"/>
      <c r="V34" s="615"/>
      <c r="W34" s="615"/>
      <c r="X34" s="615"/>
      <c r="Y34" s="615"/>
      <c r="Z34" s="615"/>
      <c r="AA34" s="615"/>
      <c r="AB34" s="616"/>
    </row>
    <row r="35" spans="1:28" s="74" customFormat="1">
      <c r="A35" s="443"/>
      <c r="B35" s="444"/>
      <c r="C35" s="445"/>
      <c r="D35" s="446"/>
      <c r="E35" s="446"/>
      <c r="F35" s="446"/>
      <c r="G35" s="446"/>
      <c r="H35" s="446"/>
      <c r="I35" s="445"/>
      <c r="J35" s="445"/>
      <c r="K35" s="446"/>
      <c r="L35" s="446"/>
      <c r="M35" s="446"/>
      <c r="N35" s="445"/>
      <c r="O35" s="618"/>
      <c r="P35" s="446"/>
      <c r="Q35" s="446"/>
      <c r="R35" s="445"/>
      <c r="S35" s="604"/>
      <c r="T35" s="604"/>
      <c r="U35" s="604"/>
      <c r="V35" s="604"/>
      <c r="W35" s="604"/>
      <c r="X35" s="604"/>
      <c r="Y35" s="604"/>
      <c r="Z35" s="604"/>
      <c r="AA35" s="604"/>
      <c r="AB35" s="606"/>
    </row>
    <row r="36" spans="1:28" s="74" customFormat="1">
      <c r="A36" s="443"/>
      <c r="B36" s="444"/>
      <c r="C36" s="445"/>
      <c r="D36" s="446"/>
      <c r="E36" s="446"/>
      <c r="F36" s="446"/>
      <c r="G36" s="446"/>
      <c r="H36" s="446"/>
      <c r="I36" s="445"/>
      <c r="J36" s="445"/>
      <c r="K36" s="446"/>
      <c r="L36" s="446"/>
      <c r="M36" s="446"/>
      <c r="N36" s="445"/>
      <c r="O36" s="618"/>
      <c r="P36" s="446"/>
      <c r="Q36" s="446"/>
      <c r="R36" s="445"/>
      <c r="S36" s="604"/>
      <c r="T36" s="604"/>
      <c r="U36" s="604"/>
      <c r="V36" s="604"/>
      <c r="W36" s="604"/>
      <c r="X36" s="604"/>
      <c r="Y36" s="604"/>
      <c r="Z36" s="604"/>
      <c r="AA36" s="604"/>
      <c r="AB36" s="606"/>
    </row>
    <row r="37" spans="1:28" s="74" customFormat="1">
      <c r="A37" s="443"/>
      <c r="B37" s="447"/>
      <c r="C37" s="613"/>
      <c r="D37" s="614"/>
      <c r="E37" s="614"/>
      <c r="F37" s="625"/>
      <c r="G37" s="614"/>
      <c r="H37" s="614"/>
      <c r="I37" s="613"/>
      <c r="J37" s="613"/>
      <c r="K37" s="614"/>
      <c r="L37" s="614"/>
      <c r="M37" s="614"/>
      <c r="N37" s="613"/>
      <c r="O37" s="617"/>
      <c r="P37" s="614"/>
      <c r="Q37" s="614"/>
      <c r="R37" s="613"/>
      <c r="S37" s="615"/>
      <c r="T37" s="615"/>
      <c r="U37" s="615"/>
      <c r="V37" s="615"/>
      <c r="W37" s="615"/>
      <c r="X37" s="615"/>
      <c r="Y37" s="615"/>
      <c r="Z37" s="615"/>
      <c r="AA37" s="615"/>
      <c r="AB37" s="616"/>
    </row>
    <row r="38" spans="1:28" s="74" customFormat="1">
      <c r="A38" s="443"/>
      <c r="B38" s="444"/>
      <c r="C38" s="445"/>
      <c r="D38" s="446"/>
      <c r="E38" s="446"/>
      <c r="F38" s="446"/>
      <c r="G38" s="446"/>
      <c r="H38" s="446"/>
      <c r="I38" s="445"/>
      <c r="J38" s="445"/>
      <c r="K38" s="446"/>
      <c r="L38" s="446"/>
      <c r="M38" s="446"/>
      <c r="N38" s="445"/>
      <c r="O38" s="618"/>
      <c r="P38" s="446"/>
      <c r="Q38" s="446"/>
      <c r="R38" s="445"/>
      <c r="S38" s="604"/>
      <c r="T38" s="604"/>
      <c r="U38" s="604"/>
      <c r="V38" s="604"/>
      <c r="W38" s="604"/>
      <c r="X38" s="604"/>
      <c r="Y38" s="604"/>
      <c r="Z38" s="604"/>
      <c r="AA38" s="604"/>
      <c r="AB38" s="606"/>
    </row>
    <row r="39" spans="1:28" s="74" customFormat="1">
      <c r="A39" s="443"/>
      <c r="B39" s="444"/>
      <c r="C39" s="445"/>
      <c r="D39" s="446"/>
      <c r="E39" s="446"/>
      <c r="F39" s="446"/>
      <c r="G39" s="446"/>
      <c r="H39" s="446"/>
      <c r="I39" s="445"/>
      <c r="J39" s="445"/>
      <c r="K39" s="446"/>
      <c r="L39" s="446"/>
      <c r="M39" s="446"/>
      <c r="N39" s="445"/>
      <c r="O39" s="618"/>
      <c r="P39" s="446"/>
      <c r="Q39" s="446"/>
      <c r="R39" s="445"/>
      <c r="S39" s="604"/>
      <c r="T39" s="604"/>
      <c r="U39" s="604"/>
      <c r="V39" s="604"/>
      <c r="W39" s="604"/>
      <c r="X39" s="604"/>
      <c r="Y39" s="604"/>
      <c r="Z39" s="604"/>
      <c r="AA39" s="604"/>
      <c r="AB39" s="606"/>
    </row>
    <row r="40" spans="1:28" s="74" customFormat="1">
      <c r="A40" s="443"/>
      <c r="B40" s="447"/>
      <c r="C40" s="613"/>
      <c r="D40" s="614"/>
      <c r="E40" s="614"/>
      <c r="F40" s="614"/>
      <c r="G40" s="614"/>
      <c r="H40" s="614"/>
      <c r="I40" s="613"/>
      <c r="J40" s="613"/>
      <c r="K40" s="614"/>
      <c r="L40" s="614"/>
      <c r="M40" s="614"/>
      <c r="N40" s="613"/>
      <c r="O40" s="619"/>
      <c r="P40" s="614"/>
      <c r="Q40" s="614"/>
      <c r="R40" s="613"/>
      <c r="S40" s="615"/>
      <c r="T40" s="615"/>
      <c r="U40" s="615"/>
      <c r="V40" s="615"/>
      <c r="W40" s="615"/>
      <c r="X40" s="615"/>
      <c r="Y40" s="615"/>
      <c r="Z40" s="615"/>
      <c r="AA40" s="615"/>
      <c r="AB40" s="616"/>
    </row>
    <row r="41" spans="1:28" s="74" customFormat="1">
      <c r="A41" s="442"/>
      <c r="B41" s="440"/>
      <c r="C41" s="437"/>
      <c r="D41" s="441"/>
      <c r="E41" s="441"/>
      <c r="F41" s="441"/>
      <c r="G41" s="441"/>
      <c r="H41" s="441"/>
      <c r="I41" s="437"/>
      <c r="J41" s="437"/>
      <c r="K41" s="441"/>
      <c r="L41" s="441"/>
      <c r="M41" s="441"/>
      <c r="N41" s="437"/>
      <c r="O41" s="437"/>
      <c r="P41" s="441"/>
      <c r="Q41" s="441"/>
      <c r="R41" s="437"/>
      <c r="S41" s="603"/>
      <c r="T41" s="603"/>
      <c r="U41" s="603"/>
      <c r="V41" s="603"/>
      <c r="W41" s="603"/>
      <c r="X41" s="603"/>
      <c r="Y41" s="603"/>
      <c r="Z41" s="603"/>
      <c r="AA41" s="603"/>
      <c r="AB41" s="605"/>
    </row>
    <row r="42" spans="1:28" s="74" customFormat="1">
      <c r="A42" s="443"/>
      <c r="B42" s="444"/>
      <c r="C42" s="445"/>
      <c r="D42" s="446"/>
      <c r="E42" s="446"/>
      <c r="F42" s="446"/>
      <c r="G42" s="446"/>
      <c r="H42" s="446"/>
      <c r="I42" s="445"/>
      <c r="J42" s="445"/>
      <c r="K42" s="446"/>
      <c r="L42" s="446"/>
      <c r="M42" s="446"/>
      <c r="N42" s="445"/>
      <c r="O42" s="445"/>
      <c r="P42" s="446"/>
      <c r="Q42" s="446"/>
      <c r="R42" s="445"/>
      <c r="S42" s="604"/>
      <c r="T42" s="604"/>
      <c r="U42" s="604"/>
      <c r="V42" s="604"/>
      <c r="W42" s="604"/>
      <c r="X42" s="604"/>
      <c r="Y42" s="604"/>
      <c r="Z42" s="604"/>
      <c r="AA42" s="604"/>
      <c r="AB42" s="606"/>
    </row>
    <row r="43" spans="1:28" s="74" customFormat="1">
      <c r="A43" s="443"/>
      <c r="B43" s="447"/>
      <c r="C43" s="613"/>
      <c r="D43" s="614"/>
      <c r="E43" s="614"/>
      <c r="F43" s="614"/>
      <c r="G43" s="614"/>
      <c r="H43" s="614"/>
      <c r="I43" s="613"/>
      <c r="J43" s="613"/>
      <c r="K43" s="614"/>
      <c r="L43" s="614"/>
      <c r="M43" s="614"/>
      <c r="N43" s="613"/>
      <c r="O43" s="617"/>
      <c r="P43" s="614"/>
      <c r="Q43" s="614"/>
      <c r="R43" s="613"/>
      <c r="S43" s="615"/>
      <c r="T43" s="615"/>
      <c r="U43" s="615"/>
      <c r="V43" s="615"/>
      <c r="W43" s="615"/>
      <c r="X43" s="615"/>
      <c r="Y43" s="615"/>
      <c r="Z43" s="615"/>
      <c r="AA43" s="615"/>
      <c r="AB43" s="616"/>
    </row>
    <row r="44" spans="1:28" s="74" customFormat="1">
      <c r="A44" s="443"/>
      <c r="B44" s="444"/>
      <c r="C44" s="445"/>
      <c r="D44" s="446"/>
      <c r="E44" s="446"/>
      <c r="F44" s="446"/>
      <c r="G44" s="446"/>
      <c r="H44" s="446"/>
      <c r="I44" s="445"/>
      <c r="J44" s="445"/>
      <c r="K44" s="446"/>
      <c r="L44" s="446"/>
      <c r="M44" s="446"/>
      <c r="N44" s="445"/>
      <c r="O44" s="618"/>
      <c r="P44" s="446"/>
      <c r="Q44" s="446"/>
      <c r="R44" s="445"/>
      <c r="S44" s="604"/>
      <c r="T44" s="604"/>
      <c r="U44" s="604"/>
      <c r="V44" s="604"/>
      <c r="W44" s="604"/>
      <c r="X44" s="604"/>
      <c r="Y44" s="604"/>
      <c r="Z44" s="604"/>
      <c r="AA44" s="604"/>
      <c r="AB44" s="606"/>
    </row>
    <row r="45" spans="1:28" s="74" customFormat="1">
      <c r="A45" s="443"/>
      <c r="B45" s="444"/>
      <c r="C45" s="445"/>
      <c r="D45" s="446"/>
      <c r="E45" s="446"/>
      <c r="F45" s="446"/>
      <c r="G45" s="446"/>
      <c r="H45" s="446"/>
      <c r="I45" s="445"/>
      <c r="J45" s="445"/>
      <c r="K45" s="446"/>
      <c r="L45" s="446"/>
      <c r="M45" s="446"/>
      <c r="N45" s="445"/>
      <c r="O45" s="618"/>
      <c r="P45" s="446"/>
      <c r="Q45" s="446"/>
      <c r="R45" s="445"/>
      <c r="S45" s="604"/>
      <c r="T45" s="604"/>
      <c r="U45" s="604"/>
      <c r="V45" s="604"/>
      <c r="W45" s="604"/>
      <c r="X45" s="604"/>
      <c r="Y45" s="604"/>
      <c r="Z45" s="604"/>
      <c r="AA45" s="604"/>
      <c r="AB45" s="606"/>
    </row>
    <row r="46" spans="1:28" s="74" customFormat="1">
      <c r="A46" s="443"/>
      <c r="B46" s="447"/>
      <c r="C46" s="613"/>
      <c r="D46" s="614"/>
      <c r="E46" s="614"/>
      <c r="F46" s="614"/>
      <c r="G46" s="614"/>
      <c r="H46" s="614"/>
      <c r="I46" s="613"/>
      <c r="J46" s="613"/>
      <c r="K46" s="614"/>
      <c r="L46" s="614"/>
      <c r="M46" s="614"/>
      <c r="N46" s="613"/>
      <c r="O46" s="617"/>
      <c r="P46" s="614"/>
      <c r="Q46" s="614"/>
      <c r="R46" s="613"/>
      <c r="S46" s="615"/>
      <c r="T46" s="615"/>
      <c r="U46" s="615"/>
      <c r="V46" s="615"/>
      <c r="W46" s="615"/>
      <c r="X46" s="615"/>
      <c r="Y46" s="615"/>
      <c r="Z46" s="615"/>
      <c r="AA46" s="615"/>
      <c r="AB46" s="616"/>
    </row>
    <row r="47" spans="1:28" s="74" customFormat="1">
      <c r="A47" s="443"/>
      <c r="B47" s="444"/>
      <c r="C47" s="445"/>
      <c r="D47" s="446"/>
      <c r="E47" s="446"/>
      <c r="F47" s="446"/>
      <c r="G47" s="446"/>
      <c r="H47" s="446"/>
      <c r="I47" s="445"/>
      <c r="J47" s="445"/>
      <c r="K47" s="446"/>
      <c r="L47" s="446"/>
      <c r="M47" s="446"/>
      <c r="N47" s="445"/>
      <c r="O47" s="618"/>
      <c r="P47" s="446"/>
      <c r="Q47" s="446"/>
      <c r="R47" s="445"/>
      <c r="S47" s="604"/>
      <c r="T47" s="604"/>
      <c r="U47" s="604"/>
      <c r="V47" s="604"/>
      <c r="W47" s="604"/>
      <c r="X47" s="604"/>
      <c r="Y47" s="604"/>
      <c r="Z47" s="604"/>
      <c r="AA47" s="604"/>
      <c r="AB47" s="606"/>
    </row>
    <row r="48" spans="1:28" s="74" customFormat="1">
      <c r="A48" s="443"/>
      <c r="B48" s="444"/>
      <c r="C48" s="445"/>
      <c r="D48" s="446"/>
      <c r="E48" s="446"/>
      <c r="F48" s="446"/>
      <c r="G48" s="446"/>
      <c r="H48" s="446"/>
      <c r="I48" s="445"/>
      <c r="J48" s="445"/>
      <c r="K48" s="446"/>
      <c r="L48" s="446"/>
      <c r="M48" s="446"/>
      <c r="N48" s="445"/>
      <c r="O48" s="618"/>
      <c r="P48" s="446"/>
      <c r="Q48" s="446"/>
      <c r="R48" s="445"/>
      <c r="S48" s="604"/>
      <c r="T48" s="604"/>
      <c r="U48" s="604"/>
      <c r="V48" s="604"/>
      <c r="W48" s="604"/>
      <c r="X48" s="604"/>
      <c r="Y48" s="604"/>
      <c r="Z48" s="604"/>
      <c r="AA48" s="604"/>
      <c r="AB48" s="606"/>
    </row>
    <row r="49" spans="1:28" s="74" customFormat="1">
      <c r="A49" s="443"/>
      <c r="B49" s="447"/>
      <c r="C49" s="613"/>
      <c r="D49" s="614"/>
      <c r="E49" s="614"/>
      <c r="F49" s="614"/>
      <c r="G49" s="614"/>
      <c r="H49" s="614"/>
      <c r="I49" s="613"/>
      <c r="J49" s="613"/>
      <c r="K49" s="614"/>
      <c r="L49" s="614"/>
      <c r="M49" s="614"/>
      <c r="N49" s="613"/>
      <c r="O49" s="617"/>
      <c r="P49" s="614"/>
      <c r="Q49" s="614"/>
      <c r="R49" s="613"/>
      <c r="S49" s="615"/>
      <c r="T49" s="615"/>
      <c r="U49" s="615"/>
      <c r="V49" s="615"/>
      <c r="W49" s="615"/>
      <c r="X49" s="615"/>
      <c r="Y49" s="615"/>
      <c r="Z49" s="615"/>
      <c r="AA49" s="615"/>
      <c r="AB49" s="616"/>
    </row>
    <row r="50" spans="1:28" s="74" customFormat="1">
      <c r="A50" s="443"/>
      <c r="B50" s="444"/>
      <c r="C50" s="445"/>
      <c r="D50" s="446"/>
      <c r="E50" s="446"/>
      <c r="F50" s="446"/>
      <c r="G50" s="446"/>
      <c r="H50" s="446"/>
      <c r="I50" s="445"/>
      <c r="J50" s="445"/>
      <c r="K50" s="446"/>
      <c r="L50" s="446"/>
      <c r="M50" s="446"/>
      <c r="N50" s="445"/>
      <c r="O50" s="618"/>
      <c r="P50" s="446"/>
      <c r="Q50" s="446"/>
      <c r="R50" s="445"/>
      <c r="S50" s="604"/>
      <c r="T50" s="604"/>
      <c r="U50" s="604"/>
      <c r="V50" s="604"/>
      <c r="W50" s="604"/>
      <c r="X50" s="604"/>
      <c r="Y50" s="604"/>
      <c r="Z50" s="604"/>
      <c r="AA50" s="604"/>
      <c r="AB50" s="606"/>
    </row>
    <row r="51" spans="1:28" s="74" customFormat="1">
      <c r="A51" s="443"/>
      <c r="B51" s="444"/>
      <c r="C51" s="445"/>
      <c r="D51" s="446"/>
      <c r="E51" s="446"/>
      <c r="F51" s="446"/>
      <c r="G51" s="446"/>
      <c r="H51" s="446"/>
      <c r="I51" s="445"/>
      <c r="J51" s="445"/>
      <c r="K51" s="446"/>
      <c r="L51" s="446"/>
      <c r="M51" s="446"/>
      <c r="N51" s="445"/>
      <c r="O51" s="618"/>
      <c r="P51" s="446"/>
      <c r="Q51" s="446"/>
      <c r="R51" s="445"/>
      <c r="S51" s="604"/>
      <c r="T51" s="604"/>
      <c r="U51" s="604"/>
      <c r="V51" s="604"/>
      <c r="W51" s="604"/>
      <c r="X51" s="604"/>
      <c r="Y51" s="604"/>
      <c r="Z51" s="604"/>
      <c r="AA51" s="604"/>
      <c r="AB51" s="606"/>
    </row>
    <row r="52" spans="1:28" s="74" customFormat="1">
      <c r="A52" s="443"/>
      <c r="B52" s="447"/>
      <c r="C52" s="613"/>
      <c r="D52" s="614"/>
      <c r="E52" s="614"/>
      <c r="F52" s="614"/>
      <c r="G52" s="614"/>
      <c r="H52" s="614"/>
      <c r="I52" s="613"/>
      <c r="J52" s="613"/>
      <c r="K52" s="614"/>
      <c r="L52" s="614"/>
      <c r="M52" s="614"/>
      <c r="N52" s="613"/>
      <c r="O52" s="619"/>
      <c r="P52" s="614"/>
      <c r="Q52" s="614"/>
      <c r="R52" s="613"/>
      <c r="S52" s="615"/>
      <c r="T52" s="615"/>
      <c r="U52" s="615"/>
      <c r="V52" s="615"/>
      <c r="W52" s="615"/>
      <c r="X52" s="615"/>
      <c r="Y52" s="615"/>
      <c r="Z52" s="615"/>
      <c r="AA52" s="615"/>
      <c r="AB52" s="616"/>
    </row>
    <row r="53" spans="1:28" s="74" customFormat="1">
      <c r="A53" s="442"/>
      <c r="B53" s="440"/>
      <c r="C53" s="437"/>
      <c r="D53" s="441"/>
      <c r="E53" s="441"/>
      <c r="F53" s="441"/>
      <c r="G53" s="441"/>
      <c r="H53" s="441"/>
      <c r="I53" s="437"/>
      <c r="J53" s="437"/>
      <c r="K53" s="441"/>
      <c r="L53" s="441"/>
      <c r="M53" s="441"/>
      <c r="N53" s="437"/>
      <c r="O53" s="437"/>
      <c r="P53" s="441"/>
      <c r="Q53" s="441"/>
      <c r="R53" s="437"/>
      <c r="S53" s="603"/>
      <c r="T53" s="603"/>
      <c r="U53" s="603"/>
      <c r="V53" s="603"/>
      <c r="W53" s="603"/>
      <c r="X53" s="603"/>
      <c r="Y53" s="603"/>
      <c r="Z53" s="603"/>
      <c r="AA53" s="603"/>
      <c r="AB53" s="605"/>
    </row>
    <row r="54" spans="1:28" s="74" customFormat="1">
      <c r="A54" s="443"/>
      <c r="B54" s="444"/>
      <c r="C54" s="445"/>
      <c r="D54" s="446"/>
      <c r="E54" s="446"/>
      <c r="F54" s="446"/>
      <c r="G54" s="446"/>
      <c r="H54" s="446"/>
      <c r="I54" s="445"/>
      <c r="J54" s="445"/>
      <c r="K54" s="446"/>
      <c r="L54" s="446"/>
      <c r="M54" s="446"/>
      <c r="N54" s="445"/>
      <c r="O54" s="445"/>
      <c r="P54" s="446"/>
      <c r="Q54" s="446"/>
      <c r="R54" s="445"/>
      <c r="S54" s="604"/>
      <c r="T54" s="604"/>
      <c r="U54" s="604"/>
      <c r="V54" s="604"/>
      <c r="W54" s="604"/>
      <c r="X54" s="604"/>
      <c r="Y54" s="604"/>
      <c r="Z54" s="604"/>
      <c r="AA54" s="604"/>
      <c r="AB54" s="606"/>
    </row>
    <row r="55" spans="1:28" s="74" customFormat="1">
      <c r="A55" s="443"/>
      <c r="B55" s="447"/>
      <c r="C55" s="613"/>
      <c r="D55" s="614"/>
      <c r="E55" s="614"/>
      <c r="F55" s="614"/>
      <c r="G55" s="614"/>
      <c r="H55" s="614"/>
      <c r="I55" s="613"/>
      <c r="J55" s="613"/>
      <c r="K55" s="614"/>
      <c r="L55" s="614"/>
      <c r="M55" s="614"/>
      <c r="N55" s="613"/>
      <c r="O55" s="625"/>
      <c r="P55" s="625"/>
      <c r="Q55" s="614"/>
      <c r="R55" s="613"/>
      <c r="S55" s="615"/>
      <c r="T55" s="615"/>
      <c r="U55" s="615"/>
      <c r="V55" s="615"/>
      <c r="W55" s="615"/>
      <c r="X55" s="615"/>
      <c r="Y55" s="615"/>
      <c r="Z55" s="615"/>
      <c r="AA55" s="615"/>
      <c r="AB55" s="616"/>
    </row>
    <row r="56" spans="1:28" s="74" customFormat="1">
      <c r="A56" s="443"/>
      <c r="B56" s="444"/>
      <c r="C56" s="445"/>
      <c r="D56" s="446"/>
      <c r="E56" s="446"/>
      <c r="F56" s="446"/>
      <c r="G56" s="446"/>
      <c r="H56" s="446"/>
      <c r="I56" s="445"/>
      <c r="J56" s="445"/>
      <c r="K56" s="446"/>
      <c r="L56" s="446"/>
      <c r="M56" s="446"/>
      <c r="N56" s="445"/>
      <c r="O56" s="618"/>
      <c r="P56" s="446"/>
      <c r="Q56" s="446"/>
      <c r="R56" s="445"/>
      <c r="S56" s="604"/>
      <c r="T56" s="604"/>
      <c r="U56" s="604"/>
      <c r="V56" s="604"/>
      <c r="W56" s="604"/>
      <c r="X56" s="604"/>
      <c r="Y56" s="604"/>
      <c r="Z56" s="604"/>
      <c r="AA56" s="604"/>
      <c r="AB56" s="606"/>
    </row>
    <row r="57" spans="1:28" s="74" customFormat="1">
      <c r="A57" s="443"/>
      <c r="B57" s="444"/>
      <c r="C57" s="445"/>
      <c r="D57" s="446"/>
      <c r="E57" s="446"/>
      <c r="F57" s="446"/>
      <c r="G57" s="446"/>
      <c r="H57" s="446"/>
      <c r="I57" s="445"/>
      <c r="J57" s="445"/>
      <c r="K57" s="446"/>
      <c r="L57" s="446"/>
      <c r="M57" s="446"/>
      <c r="N57" s="445"/>
      <c r="O57" s="618"/>
      <c r="P57" s="446"/>
      <c r="Q57" s="446"/>
      <c r="R57" s="445"/>
      <c r="S57" s="604"/>
      <c r="T57" s="604"/>
      <c r="U57" s="604"/>
      <c r="V57" s="604"/>
      <c r="W57" s="604"/>
      <c r="X57" s="604"/>
      <c r="Y57" s="604"/>
      <c r="Z57" s="604"/>
      <c r="AA57" s="604"/>
      <c r="AB57" s="606"/>
    </row>
    <row r="58" spans="1:28" s="74" customFormat="1">
      <c r="A58" s="443"/>
      <c r="B58" s="447"/>
      <c r="C58" s="613"/>
      <c r="D58" s="614"/>
      <c r="E58" s="614"/>
      <c r="F58" s="614"/>
      <c r="G58" s="614"/>
      <c r="H58" s="614"/>
      <c r="I58" s="613"/>
      <c r="J58" s="613"/>
      <c r="K58" s="614"/>
      <c r="L58" s="614"/>
      <c r="M58" s="614"/>
      <c r="N58" s="613"/>
      <c r="O58" s="617"/>
      <c r="P58" s="614"/>
      <c r="Q58" s="614"/>
      <c r="R58" s="613"/>
      <c r="S58" s="615"/>
      <c r="T58" s="615"/>
      <c r="U58" s="615"/>
      <c r="V58" s="615"/>
      <c r="W58" s="615"/>
      <c r="X58" s="615"/>
      <c r="Y58" s="615"/>
      <c r="Z58" s="615"/>
      <c r="AA58" s="615"/>
      <c r="AB58" s="616"/>
    </row>
    <row r="59" spans="1:28" s="74" customFormat="1">
      <c r="A59" s="443"/>
      <c r="B59" s="444"/>
      <c r="C59" s="445"/>
      <c r="D59" s="446"/>
      <c r="E59" s="446"/>
      <c r="F59" s="446"/>
      <c r="G59" s="446"/>
      <c r="H59" s="446"/>
      <c r="I59" s="445"/>
      <c r="J59" s="445"/>
      <c r="K59" s="446"/>
      <c r="L59" s="446"/>
      <c r="M59" s="446"/>
      <c r="N59" s="445"/>
      <c r="O59" s="618"/>
      <c r="P59" s="446"/>
      <c r="Q59" s="446"/>
      <c r="R59" s="445"/>
      <c r="S59" s="604"/>
      <c r="T59" s="604"/>
      <c r="U59" s="604"/>
      <c r="V59" s="604"/>
      <c r="W59" s="604"/>
      <c r="X59" s="604"/>
      <c r="Y59" s="604"/>
      <c r="Z59" s="604"/>
      <c r="AA59" s="604"/>
      <c r="AB59" s="606"/>
    </row>
    <row r="60" spans="1:28" s="74" customFormat="1">
      <c r="A60" s="443"/>
      <c r="B60" s="444"/>
      <c r="C60" s="445"/>
      <c r="D60" s="446"/>
      <c r="E60" s="446"/>
      <c r="F60" s="446"/>
      <c r="G60" s="446"/>
      <c r="H60" s="446"/>
      <c r="I60" s="445"/>
      <c r="J60" s="445"/>
      <c r="K60" s="446"/>
      <c r="L60" s="446"/>
      <c r="M60" s="446"/>
      <c r="N60" s="445"/>
      <c r="O60" s="618"/>
      <c r="P60" s="446"/>
      <c r="Q60" s="446"/>
      <c r="R60" s="445"/>
      <c r="S60" s="604"/>
      <c r="T60" s="604"/>
      <c r="U60" s="604"/>
      <c r="V60" s="604"/>
      <c r="W60" s="604"/>
      <c r="X60" s="604"/>
      <c r="Y60" s="604"/>
      <c r="Z60" s="604"/>
      <c r="AA60" s="604"/>
      <c r="AB60" s="606"/>
    </row>
    <row r="61" spans="1:28" s="74" customFormat="1">
      <c r="A61" s="443"/>
      <c r="B61" s="447"/>
      <c r="C61" s="613"/>
      <c r="D61" s="614"/>
      <c r="E61" s="614"/>
      <c r="F61" s="614"/>
      <c r="G61" s="614"/>
      <c r="H61" s="614"/>
      <c r="I61" s="613"/>
      <c r="J61" s="613"/>
      <c r="K61" s="614"/>
      <c r="L61" s="614"/>
      <c r="M61" s="614"/>
      <c r="N61" s="613"/>
      <c r="O61" s="617"/>
      <c r="P61" s="614"/>
      <c r="Q61" s="614"/>
      <c r="R61" s="613"/>
      <c r="S61" s="615"/>
      <c r="T61" s="615"/>
      <c r="U61" s="615"/>
      <c r="V61" s="615"/>
      <c r="W61" s="615"/>
      <c r="X61" s="615"/>
      <c r="Y61" s="615"/>
      <c r="Z61" s="615"/>
      <c r="AA61" s="615"/>
      <c r="AB61" s="616"/>
    </row>
    <row r="62" spans="1:28" s="74" customFormat="1">
      <c r="A62" s="443"/>
      <c r="B62" s="444"/>
      <c r="C62" s="445"/>
      <c r="D62" s="446"/>
      <c r="E62" s="446"/>
      <c r="F62" s="446"/>
      <c r="G62" s="446"/>
      <c r="H62" s="446"/>
      <c r="I62" s="445"/>
      <c r="J62" s="445"/>
      <c r="K62" s="446"/>
      <c r="L62" s="446"/>
      <c r="M62" s="446"/>
      <c r="N62" s="445"/>
      <c r="O62" s="618"/>
      <c r="P62" s="446"/>
      <c r="Q62" s="446"/>
      <c r="R62" s="445"/>
      <c r="S62" s="604"/>
      <c r="T62" s="604"/>
      <c r="U62" s="604"/>
      <c r="V62" s="604"/>
      <c r="W62" s="604"/>
      <c r="X62" s="604"/>
      <c r="Y62" s="604"/>
      <c r="Z62" s="604"/>
      <c r="AA62" s="604"/>
      <c r="AB62" s="606"/>
    </row>
    <row r="63" spans="1:28" s="74" customFormat="1">
      <c r="A63" s="443"/>
      <c r="B63" s="444"/>
      <c r="C63" s="445"/>
      <c r="D63" s="446"/>
      <c r="E63" s="446"/>
      <c r="F63" s="446"/>
      <c r="G63" s="446"/>
      <c r="H63" s="446"/>
      <c r="I63" s="445"/>
      <c r="J63" s="445"/>
      <c r="K63" s="446"/>
      <c r="L63" s="446"/>
      <c r="M63" s="446"/>
      <c r="N63" s="445"/>
      <c r="O63" s="618"/>
      <c r="P63" s="446"/>
      <c r="Q63" s="446"/>
      <c r="R63" s="445"/>
      <c r="S63" s="604"/>
      <c r="T63" s="604"/>
      <c r="U63" s="604"/>
      <c r="V63" s="604"/>
      <c r="W63" s="604"/>
      <c r="X63" s="604"/>
      <c r="Y63" s="604"/>
      <c r="Z63" s="604"/>
      <c r="AA63" s="604"/>
      <c r="AB63" s="606"/>
    </row>
    <row r="64" spans="1:28" s="74" customFormat="1">
      <c r="A64" s="443"/>
      <c r="B64" s="447"/>
      <c r="C64" s="613"/>
      <c r="D64" s="614"/>
      <c r="E64" s="614"/>
      <c r="F64" s="614"/>
      <c r="G64" s="614"/>
      <c r="H64" s="614"/>
      <c r="I64" s="613"/>
      <c r="J64" s="613"/>
      <c r="K64" s="614"/>
      <c r="L64" s="614"/>
      <c r="M64" s="614"/>
      <c r="N64" s="613"/>
      <c r="O64" s="619"/>
      <c r="P64" s="614"/>
      <c r="Q64" s="614"/>
      <c r="R64" s="613"/>
      <c r="S64" s="615"/>
      <c r="T64" s="615"/>
      <c r="U64" s="615"/>
      <c r="V64" s="615"/>
      <c r="W64" s="615"/>
      <c r="X64" s="615"/>
      <c r="Y64" s="615"/>
      <c r="Z64" s="615"/>
      <c r="AA64" s="615"/>
      <c r="AB64" s="616"/>
    </row>
    <row r="65" spans="1:28" s="74" customFormat="1">
      <c r="A65" s="442"/>
      <c r="B65" s="440"/>
      <c r="C65" s="437"/>
      <c r="D65" s="441"/>
      <c r="E65" s="441"/>
      <c r="F65" s="441"/>
      <c r="G65" s="441"/>
      <c r="H65" s="441"/>
      <c r="I65" s="437"/>
      <c r="J65" s="437"/>
      <c r="K65" s="441"/>
      <c r="L65" s="441"/>
      <c r="M65" s="441"/>
      <c r="N65" s="437"/>
      <c r="O65" s="437"/>
      <c r="P65" s="441"/>
      <c r="Q65" s="441"/>
      <c r="R65" s="437"/>
      <c r="S65" s="603"/>
      <c r="T65" s="603"/>
      <c r="U65" s="603"/>
      <c r="V65" s="603"/>
      <c r="W65" s="603"/>
      <c r="X65" s="603"/>
      <c r="Y65" s="603"/>
      <c r="Z65" s="603"/>
      <c r="AA65" s="603"/>
      <c r="AB65" s="605"/>
    </row>
    <row r="66" spans="1:28" s="74" customFormat="1">
      <c r="A66" s="443"/>
      <c r="B66" s="444"/>
      <c r="C66" s="445"/>
      <c r="D66" s="446"/>
      <c r="E66" s="446"/>
      <c r="F66" s="446"/>
      <c r="G66" s="446"/>
      <c r="H66" s="446"/>
      <c r="I66" s="445"/>
      <c r="J66" s="445"/>
      <c r="K66" s="446"/>
      <c r="L66" s="446"/>
      <c r="M66" s="446"/>
      <c r="N66" s="445"/>
      <c r="O66" s="445"/>
      <c r="P66" s="446"/>
      <c r="Q66" s="446"/>
      <c r="R66" s="445"/>
      <c r="S66" s="604"/>
      <c r="T66" s="604"/>
      <c r="U66" s="604"/>
      <c r="V66" s="604"/>
      <c r="W66" s="604"/>
      <c r="X66" s="604"/>
      <c r="Y66" s="604"/>
      <c r="Z66" s="604"/>
      <c r="AA66" s="604"/>
      <c r="AB66" s="606"/>
    </row>
    <row r="67" spans="1:28" s="74" customFormat="1">
      <c r="A67" s="443"/>
      <c r="B67" s="447"/>
      <c r="C67" s="613"/>
      <c r="D67" s="614"/>
      <c r="E67" s="614"/>
      <c r="F67" s="614"/>
      <c r="G67" s="614"/>
      <c r="H67" s="614"/>
      <c r="I67" s="613"/>
      <c r="J67" s="613"/>
      <c r="K67" s="614"/>
      <c r="L67" s="614"/>
      <c r="M67" s="614"/>
      <c r="N67" s="613"/>
      <c r="O67" s="625"/>
      <c r="P67" s="614"/>
      <c r="Q67" s="614"/>
      <c r="R67" s="613"/>
      <c r="S67" s="615"/>
      <c r="T67" s="615"/>
      <c r="U67" s="615"/>
      <c r="V67" s="615"/>
      <c r="W67" s="615"/>
      <c r="X67" s="615"/>
      <c r="Y67" s="615"/>
      <c r="Z67" s="615"/>
      <c r="AA67" s="615"/>
      <c r="AB67" s="616"/>
    </row>
    <row r="68" spans="1:28" s="74" customFormat="1">
      <c r="A68" s="443"/>
      <c r="B68" s="444"/>
      <c r="C68" s="445"/>
      <c r="D68" s="446"/>
      <c r="E68" s="446"/>
      <c r="F68" s="446"/>
      <c r="G68" s="446"/>
      <c r="H68" s="446"/>
      <c r="I68" s="445"/>
      <c r="J68" s="445"/>
      <c r="K68" s="446"/>
      <c r="L68" s="446"/>
      <c r="M68" s="446"/>
      <c r="N68" s="445"/>
      <c r="O68" s="618"/>
      <c r="P68" s="446"/>
      <c r="Q68" s="446"/>
      <c r="R68" s="445"/>
      <c r="S68" s="604"/>
      <c r="T68" s="604"/>
      <c r="U68" s="604"/>
      <c r="V68" s="604"/>
      <c r="W68" s="604"/>
      <c r="X68" s="604"/>
      <c r="Y68" s="604"/>
      <c r="Z68" s="604"/>
      <c r="AA68" s="604"/>
      <c r="AB68" s="606"/>
    </row>
    <row r="69" spans="1:28" s="74" customFormat="1">
      <c r="A69" s="443"/>
      <c r="B69" s="444"/>
      <c r="C69" s="445"/>
      <c r="D69" s="446"/>
      <c r="E69" s="446"/>
      <c r="F69" s="446"/>
      <c r="G69" s="446"/>
      <c r="H69" s="446"/>
      <c r="I69" s="445"/>
      <c r="J69" s="445"/>
      <c r="K69" s="446"/>
      <c r="L69" s="446"/>
      <c r="M69" s="446"/>
      <c r="N69" s="445"/>
      <c r="O69" s="618"/>
      <c r="P69" s="446"/>
      <c r="Q69" s="446"/>
      <c r="R69" s="445"/>
      <c r="S69" s="604"/>
      <c r="T69" s="604"/>
      <c r="U69" s="604"/>
      <c r="V69" s="604"/>
      <c r="W69" s="604"/>
      <c r="X69" s="604"/>
      <c r="Y69" s="604"/>
      <c r="Z69" s="604"/>
      <c r="AA69" s="604"/>
      <c r="AB69" s="606"/>
    </row>
    <row r="70" spans="1:28" s="74" customFormat="1">
      <c r="A70" s="443"/>
      <c r="B70" s="447"/>
      <c r="C70" s="613"/>
      <c r="D70" s="614"/>
      <c r="E70" s="614"/>
      <c r="F70" s="614"/>
      <c r="G70" s="614"/>
      <c r="H70" s="614"/>
      <c r="I70" s="613"/>
      <c r="J70" s="613"/>
      <c r="K70" s="614"/>
      <c r="L70" s="614"/>
      <c r="M70" s="614"/>
      <c r="N70" s="613"/>
      <c r="O70" s="617"/>
      <c r="P70" s="614"/>
      <c r="Q70" s="614"/>
      <c r="R70" s="613"/>
      <c r="S70" s="615"/>
      <c r="T70" s="615"/>
      <c r="U70" s="615"/>
      <c r="V70" s="615"/>
      <c r="W70" s="615"/>
      <c r="X70" s="615"/>
      <c r="Y70" s="615"/>
      <c r="Z70" s="615"/>
      <c r="AA70" s="615"/>
      <c r="AB70" s="616"/>
    </row>
    <row r="71" spans="1:28" s="74" customFormat="1">
      <c r="A71" s="443"/>
      <c r="B71" s="444"/>
      <c r="C71" s="445"/>
      <c r="D71" s="446"/>
      <c r="E71" s="446"/>
      <c r="F71" s="446"/>
      <c r="G71" s="446"/>
      <c r="H71" s="446"/>
      <c r="I71" s="445"/>
      <c r="J71" s="445"/>
      <c r="K71" s="446"/>
      <c r="L71" s="446"/>
      <c r="M71" s="446"/>
      <c r="N71" s="445"/>
      <c r="O71" s="618"/>
      <c r="P71" s="446"/>
      <c r="Q71" s="446"/>
      <c r="R71" s="445"/>
      <c r="S71" s="604"/>
      <c r="T71" s="604"/>
      <c r="U71" s="604"/>
      <c r="V71" s="604"/>
      <c r="W71" s="604"/>
      <c r="X71" s="604"/>
      <c r="Y71" s="604"/>
      <c r="Z71" s="604"/>
      <c r="AA71" s="604"/>
      <c r="AB71" s="606"/>
    </row>
    <row r="72" spans="1:28" s="74" customFormat="1">
      <c r="A72" s="443"/>
      <c r="B72" s="444"/>
      <c r="C72" s="445"/>
      <c r="D72" s="446"/>
      <c r="E72" s="446"/>
      <c r="F72" s="446"/>
      <c r="G72" s="446"/>
      <c r="H72" s="446"/>
      <c r="I72" s="445"/>
      <c r="J72" s="445"/>
      <c r="K72" s="446"/>
      <c r="L72" s="446"/>
      <c r="M72" s="446"/>
      <c r="N72" s="445"/>
      <c r="O72" s="618"/>
      <c r="P72" s="446"/>
      <c r="Q72" s="446"/>
      <c r="R72" s="445"/>
      <c r="S72" s="604"/>
      <c r="T72" s="604"/>
      <c r="U72" s="604"/>
      <c r="V72" s="604"/>
      <c r="W72" s="604"/>
      <c r="X72" s="604"/>
      <c r="Y72" s="604"/>
      <c r="Z72" s="604"/>
      <c r="AA72" s="604"/>
      <c r="AB72" s="606"/>
    </row>
    <row r="73" spans="1:28" s="74" customFormat="1">
      <c r="A73" s="443"/>
      <c r="B73" s="447"/>
      <c r="C73" s="613"/>
      <c r="D73" s="614"/>
      <c r="E73" s="614"/>
      <c r="F73" s="614"/>
      <c r="G73" s="614"/>
      <c r="H73" s="614"/>
      <c r="I73" s="613"/>
      <c r="J73" s="613"/>
      <c r="K73" s="614"/>
      <c r="L73" s="614"/>
      <c r="M73" s="614"/>
      <c r="N73" s="613"/>
      <c r="O73" s="617"/>
      <c r="P73" s="614"/>
      <c r="Q73" s="614"/>
      <c r="R73" s="613"/>
      <c r="S73" s="615"/>
      <c r="T73" s="615"/>
      <c r="U73" s="615"/>
      <c r="V73" s="615"/>
      <c r="W73" s="615"/>
      <c r="X73" s="615"/>
      <c r="Y73" s="615"/>
      <c r="Z73" s="615"/>
      <c r="AA73" s="615"/>
      <c r="AB73" s="616"/>
    </row>
    <row r="74" spans="1:28" s="74" customFormat="1">
      <c r="A74" s="443"/>
      <c r="B74" s="444"/>
      <c r="C74" s="445"/>
      <c r="D74" s="446"/>
      <c r="E74" s="446"/>
      <c r="F74" s="446"/>
      <c r="G74" s="446"/>
      <c r="H74" s="446"/>
      <c r="I74" s="445"/>
      <c r="J74" s="445"/>
      <c r="K74" s="446"/>
      <c r="L74" s="446"/>
      <c r="M74" s="446"/>
      <c r="N74" s="445"/>
      <c r="O74" s="618"/>
      <c r="P74" s="446"/>
      <c r="Q74" s="446"/>
      <c r="R74" s="445"/>
      <c r="S74" s="604"/>
      <c r="T74" s="604"/>
      <c r="U74" s="604"/>
      <c r="V74" s="604"/>
      <c r="W74" s="604"/>
      <c r="X74" s="604"/>
      <c r="Y74" s="604"/>
      <c r="Z74" s="604"/>
      <c r="AA74" s="604"/>
      <c r="AB74" s="606"/>
    </row>
    <row r="75" spans="1:28" s="74" customFormat="1">
      <c r="A75" s="443"/>
      <c r="B75" s="444"/>
      <c r="C75" s="445"/>
      <c r="D75" s="446"/>
      <c r="E75" s="446"/>
      <c r="F75" s="446"/>
      <c r="G75" s="446"/>
      <c r="H75" s="446"/>
      <c r="I75" s="445"/>
      <c r="J75" s="445"/>
      <c r="K75" s="446"/>
      <c r="L75" s="446"/>
      <c r="M75" s="446"/>
      <c r="N75" s="445"/>
      <c r="O75" s="618"/>
      <c r="P75" s="446"/>
      <c r="Q75" s="446"/>
      <c r="R75" s="445"/>
      <c r="S75" s="604"/>
      <c r="T75" s="604"/>
      <c r="U75" s="604"/>
      <c r="V75" s="604"/>
      <c r="W75" s="604"/>
      <c r="X75" s="604"/>
      <c r="Y75" s="604"/>
      <c r="Z75" s="604"/>
      <c r="AA75" s="604"/>
      <c r="AB75" s="606"/>
    </row>
    <row r="76" spans="1:28" s="74" customFormat="1">
      <c r="A76" s="443"/>
      <c r="B76" s="447"/>
      <c r="C76" s="613"/>
      <c r="D76" s="614"/>
      <c r="E76" s="614"/>
      <c r="F76" s="614"/>
      <c r="G76" s="614"/>
      <c r="H76" s="614"/>
      <c r="I76" s="613"/>
      <c r="J76" s="613"/>
      <c r="K76" s="614"/>
      <c r="L76" s="614"/>
      <c r="M76" s="614"/>
      <c r="N76" s="613"/>
      <c r="O76" s="619"/>
      <c r="P76" s="614"/>
      <c r="Q76" s="614"/>
      <c r="R76" s="613"/>
      <c r="S76" s="615"/>
      <c r="T76" s="615"/>
      <c r="U76" s="615"/>
      <c r="V76" s="615"/>
      <c r="W76" s="615"/>
      <c r="X76" s="615"/>
      <c r="Y76" s="615"/>
      <c r="Z76" s="615"/>
      <c r="AA76" s="615"/>
      <c r="AB76" s="616"/>
    </row>
    <row r="77" spans="1:28" s="74" customFormat="1">
      <c r="A77" s="442"/>
      <c r="B77" s="440"/>
      <c r="C77" s="437"/>
      <c r="D77" s="441"/>
      <c r="E77" s="441"/>
      <c r="F77" s="441"/>
      <c r="G77" s="441"/>
      <c r="H77" s="441"/>
      <c r="I77" s="437"/>
      <c r="J77" s="437"/>
      <c r="K77" s="441"/>
      <c r="L77" s="441"/>
      <c r="M77" s="441"/>
      <c r="N77" s="437"/>
      <c r="O77" s="437"/>
      <c r="P77" s="441"/>
      <c r="Q77" s="441"/>
      <c r="R77" s="437"/>
      <c r="S77" s="603"/>
      <c r="T77" s="603"/>
      <c r="U77" s="603"/>
      <c r="V77" s="603"/>
      <c r="W77" s="603"/>
      <c r="X77" s="603"/>
      <c r="Y77" s="603"/>
      <c r="Z77" s="603"/>
      <c r="AA77" s="603"/>
      <c r="AB77" s="605"/>
    </row>
    <row r="78" spans="1:28" s="74" customFormat="1">
      <c r="A78" s="443"/>
      <c r="B78" s="444"/>
      <c r="C78" s="445"/>
      <c r="D78" s="446"/>
      <c r="E78" s="446"/>
      <c r="F78" s="446"/>
      <c r="G78" s="446"/>
      <c r="H78" s="446"/>
      <c r="I78" s="445"/>
      <c r="J78" s="445"/>
      <c r="K78" s="446"/>
      <c r="L78" s="446"/>
      <c r="M78" s="446"/>
      <c r="N78" s="445"/>
      <c r="O78" s="445"/>
      <c r="P78" s="446"/>
      <c r="Q78" s="446"/>
      <c r="R78" s="445"/>
      <c r="S78" s="604"/>
      <c r="T78" s="604"/>
      <c r="U78" s="604"/>
      <c r="V78" s="604"/>
      <c r="W78" s="604"/>
      <c r="X78" s="604"/>
      <c r="Y78" s="604"/>
      <c r="Z78" s="604"/>
      <c r="AA78" s="604"/>
      <c r="AB78" s="606"/>
    </row>
    <row r="79" spans="1:28" s="74" customFormat="1">
      <c r="A79" s="443"/>
      <c r="B79" s="447"/>
      <c r="C79" s="613"/>
      <c r="D79" s="614"/>
      <c r="E79" s="614"/>
      <c r="F79" s="614"/>
      <c r="G79" s="614"/>
      <c r="H79" s="614"/>
      <c r="I79" s="613"/>
      <c r="J79" s="613"/>
      <c r="K79" s="614"/>
      <c r="L79" s="614"/>
      <c r="M79" s="614"/>
      <c r="N79" s="613"/>
      <c r="O79" s="617"/>
      <c r="P79" s="614"/>
      <c r="Q79" s="614"/>
      <c r="R79" s="613"/>
      <c r="S79" s="615"/>
      <c r="T79" s="615"/>
      <c r="U79" s="615"/>
      <c r="V79" s="615"/>
      <c r="W79" s="615"/>
      <c r="X79" s="615"/>
      <c r="Y79" s="615"/>
      <c r="Z79" s="615"/>
      <c r="AA79" s="615"/>
      <c r="AB79" s="616"/>
    </row>
    <row r="80" spans="1:28" s="74" customFormat="1">
      <c r="A80" s="443"/>
      <c r="B80" s="444"/>
      <c r="C80" s="445"/>
      <c r="D80" s="446"/>
      <c r="E80" s="446"/>
      <c r="F80" s="446"/>
      <c r="G80" s="446"/>
      <c r="H80" s="446"/>
      <c r="I80" s="445"/>
      <c r="J80" s="445"/>
      <c r="K80" s="446"/>
      <c r="L80" s="446"/>
      <c r="M80" s="446"/>
      <c r="N80" s="445"/>
      <c r="O80" s="618"/>
      <c r="P80" s="446"/>
      <c r="Q80" s="446"/>
      <c r="R80" s="445"/>
      <c r="S80" s="604"/>
      <c r="T80" s="604"/>
      <c r="U80" s="604"/>
      <c r="V80" s="604"/>
      <c r="W80" s="604"/>
      <c r="X80" s="604"/>
      <c r="Y80" s="604"/>
      <c r="Z80" s="604"/>
      <c r="AA80" s="604"/>
      <c r="AB80" s="606"/>
    </row>
    <row r="81" spans="1:28" s="74" customFormat="1">
      <c r="A81" s="443"/>
      <c r="B81" s="444"/>
      <c r="C81" s="445"/>
      <c r="D81" s="446"/>
      <c r="E81" s="446"/>
      <c r="F81" s="446"/>
      <c r="G81" s="446"/>
      <c r="H81" s="446"/>
      <c r="I81" s="445"/>
      <c r="J81" s="445"/>
      <c r="K81" s="446"/>
      <c r="L81" s="446"/>
      <c r="M81" s="446"/>
      <c r="N81" s="445"/>
      <c r="O81" s="618"/>
      <c r="P81" s="446"/>
      <c r="Q81" s="446"/>
      <c r="R81" s="445"/>
      <c r="S81" s="604"/>
      <c r="T81" s="604"/>
      <c r="U81" s="604"/>
      <c r="V81" s="604"/>
      <c r="W81" s="604"/>
      <c r="X81" s="604"/>
      <c r="Y81" s="604"/>
      <c r="Z81" s="604"/>
      <c r="AA81" s="604"/>
      <c r="AB81" s="606"/>
    </row>
    <row r="82" spans="1:28" s="74" customFormat="1">
      <c r="A82" s="443"/>
      <c r="B82" s="447"/>
      <c r="C82" s="613"/>
      <c r="D82" s="614"/>
      <c r="E82" s="614"/>
      <c r="F82" s="614"/>
      <c r="G82" s="614"/>
      <c r="H82" s="614"/>
      <c r="I82" s="613"/>
      <c r="J82" s="613"/>
      <c r="K82" s="614"/>
      <c r="L82" s="614"/>
      <c r="M82" s="614"/>
      <c r="N82" s="613"/>
      <c r="O82" s="617"/>
      <c r="P82" s="614"/>
      <c r="Q82" s="614"/>
      <c r="R82" s="613"/>
      <c r="S82" s="615"/>
      <c r="T82" s="615"/>
      <c r="U82" s="615"/>
      <c r="V82" s="615"/>
      <c r="W82" s="615"/>
      <c r="X82" s="615"/>
      <c r="Y82" s="615"/>
      <c r="Z82" s="615"/>
      <c r="AA82" s="615"/>
      <c r="AB82" s="616"/>
    </row>
    <row r="83" spans="1:28" s="74" customFormat="1">
      <c r="A83" s="443"/>
      <c r="B83" s="444"/>
      <c r="C83" s="445"/>
      <c r="D83" s="446"/>
      <c r="E83" s="446"/>
      <c r="F83" s="446"/>
      <c r="G83" s="446"/>
      <c r="H83" s="446"/>
      <c r="I83" s="445"/>
      <c r="J83" s="445"/>
      <c r="K83" s="446"/>
      <c r="L83" s="446"/>
      <c r="M83" s="446"/>
      <c r="N83" s="445"/>
      <c r="O83" s="618"/>
      <c r="P83" s="446"/>
      <c r="Q83" s="446"/>
      <c r="R83" s="445"/>
      <c r="S83" s="604"/>
      <c r="T83" s="604"/>
      <c r="U83" s="604"/>
      <c r="V83" s="604"/>
      <c r="W83" s="604"/>
      <c r="X83" s="604"/>
      <c r="Y83" s="604"/>
      <c r="Z83" s="604"/>
      <c r="AA83" s="604"/>
      <c r="AB83" s="606"/>
    </row>
    <row r="84" spans="1:28" s="74" customFormat="1">
      <c r="A84" s="443"/>
      <c r="B84" s="444"/>
      <c r="C84" s="445"/>
      <c r="D84" s="446"/>
      <c r="E84" s="446"/>
      <c r="F84" s="446"/>
      <c r="G84" s="446"/>
      <c r="H84" s="446"/>
      <c r="I84" s="445"/>
      <c r="J84" s="445"/>
      <c r="K84" s="446"/>
      <c r="L84" s="446"/>
      <c r="M84" s="446"/>
      <c r="N84" s="445"/>
      <c r="O84" s="618"/>
      <c r="P84" s="446"/>
      <c r="Q84" s="446"/>
      <c r="R84" s="445"/>
      <c r="S84" s="604"/>
      <c r="T84" s="604"/>
      <c r="U84" s="604"/>
      <c r="V84" s="604"/>
      <c r="W84" s="604"/>
      <c r="X84" s="604"/>
      <c r="Y84" s="604"/>
      <c r="Z84" s="604"/>
      <c r="AA84" s="604"/>
      <c r="AB84" s="606"/>
    </row>
    <row r="85" spans="1:28" s="74" customFormat="1">
      <c r="A85" s="443"/>
      <c r="B85" s="447"/>
      <c r="C85" s="613"/>
      <c r="D85" s="614"/>
      <c r="E85" s="614"/>
      <c r="F85" s="614"/>
      <c r="G85" s="614"/>
      <c r="H85" s="614"/>
      <c r="I85" s="613"/>
      <c r="J85" s="613"/>
      <c r="K85" s="614"/>
      <c r="L85" s="614"/>
      <c r="M85" s="614"/>
      <c r="N85" s="613"/>
      <c r="O85" s="617"/>
      <c r="P85" s="614"/>
      <c r="Q85" s="614"/>
      <c r="R85" s="613"/>
      <c r="S85" s="615"/>
      <c r="T85" s="615"/>
      <c r="U85" s="615"/>
      <c r="V85" s="615"/>
      <c r="W85" s="615"/>
      <c r="X85" s="615"/>
      <c r="Y85" s="615"/>
      <c r="Z85" s="615"/>
      <c r="AA85" s="615"/>
      <c r="AB85" s="616"/>
    </row>
    <row r="86" spans="1:28" s="74" customFormat="1">
      <c r="A86" s="443"/>
      <c r="B86" s="444"/>
      <c r="C86" s="445"/>
      <c r="D86" s="446"/>
      <c r="E86" s="446"/>
      <c r="F86" s="446"/>
      <c r="G86" s="446"/>
      <c r="H86" s="446"/>
      <c r="I86" s="445"/>
      <c r="J86" s="445"/>
      <c r="K86" s="446"/>
      <c r="L86" s="446"/>
      <c r="M86" s="446"/>
      <c r="N86" s="445"/>
      <c r="O86" s="618"/>
      <c r="P86" s="446"/>
      <c r="Q86" s="446"/>
      <c r="R86" s="445"/>
      <c r="S86" s="604"/>
      <c r="T86" s="604"/>
      <c r="U86" s="604"/>
      <c r="V86" s="604"/>
      <c r="W86" s="604"/>
      <c r="X86" s="604"/>
      <c r="Y86" s="604"/>
      <c r="Z86" s="604"/>
      <c r="AA86" s="604"/>
      <c r="AB86" s="606"/>
    </row>
    <row r="87" spans="1:28" s="74" customFormat="1">
      <c r="A87" s="443"/>
      <c r="B87" s="444"/>
      <c r="C87" s="445"/>
      <c r="D87" s="446"/>
      <c r="E87" s="446"/>
      <c r="F87" s="446"/>
      <c r="G87" s="446"/>
      <c r="H87" s="446"/>
      <c r="I87" s="445"/>
      <c r="J87" s="445"/>
      <c r="K87" s="446"/>
      <c r="L87" s="446"/>
      <c r="M87" s="446"/>
      <c r="N87" s="445"/>
      <c r="O87" s="618"/>
      <c r="P87" s="446"/>
      <c r="Q87" s="446"/>
      <c r="R87" s="445"/>
      <c r="S87" s="604"/>
      <c r="T87" s="604"/>
      <c r="U87" s="604"/>
      <c r="V87" s="604"/>
      <c r="W87" s="604"/>
      <c r="X87" s="604"/>
      <c r="Y87" s="604"/>
      <c r="Z87" s="604"/>
      <c r="AA87" s="604"/>
      <c r="AB87" s="606"/>
    </row>
    <row r="88" spans="1:28" s="74" customFormat="1">
      <c r="A88" s="443"/>
      <c r="B88" s="447"/>
      <c r="C88" s="613"/>
      <c r="D88" s="614"/>
      <c r="E88" s="614"/>
      <c r="F88" s="614"/>
      <c r="G88" s="614"/>
      <c r="H88" s="614"/>
      <c r="I88" s="613"/>
      <c r="J88" s="613"/>
      <c r="K88" s="614"/>
      <c r="L88" s="614"/>
      <c r="M88" s="614"/>
      <c r="N88" s="613"/>
      <c r="O88" s="619"/>
      <c r="P88" s="614"/>
      <c r="Q88" s="614"/>
      <c r="R88" s="613"/>
      <c r="S88" s="615"/>
      <c r="T88" s="615"/>
      <c r="U88" s="615"/>
      <c r="V88" s="615"/>
      <c r="W88" s="615"/>
      <c r="X88" s="615"/>
      <c r="Y88" s="615"/>
      <c r="Z88" s="615"/>
      <c r="AA88" s="615"/>
      <c r="AB88" s="616"/>
    </row>
    <row r="89" spans="1:28" s="74" customFormat="1">
      <c r="A89" s="442"/>
      <c r="B89" s="440"/>
      <c r="C89" s="437"/>
      <c r="D89" s="441"/>
      <c r="E89" s="441"/>
      <c r="F89" s="441"/>
      <c r="G89" s="441"/>
      <c r="H89" s="441"/>
      <c r="I89" s="437"/>
      <c r="J89" s="437"/>
      <c r="K89" s="441"/>
      <c r="L89" s="441"/>
      <c r="M89" s="441"/>
      <c r="N89" s="437"/>
      <c r="O89" s="437"/>
      <c r="P89" s="441"/>
      <c r="Q89" s="441"/>
      <c r="R89" s="437"/>
      <c r="S89" s="603"/>
      <c r="T89" s="603"/>
      <c r="U89" s="603"/>
      <c r="V89" s="603"/>
      <c r="W89" s="603"/>
      <c r="X89" s="603"/>
      <c r="Y89" s="603"/>
      <c r="Z89" s="603"/>
      <c r="AA89" s="603"/>
      <c r="AB89" s="605"/>
    </row>
    <row r="90" spans="1:28" s="74" customFormat="1">
      <c r="A90" s="443"/>
      <c r="B90" s="444"/>
      <c r="C90" s="445"/>
      <c r="D90" s="446"/>
      <c r="E90" s="446"/>
      <c r="F90" s="446"/>
      <c r="G90" s="446"/>
      <c r="H90" s="446"/>
      <c r="I90" s="445"/>
      <c r="J90" s="445"/>
      <c r="K90" s="446"/>
      <c r="L90" s="446"/>
      <c r="M90" s="446"/>
      <c r="N90" s="445"/>
      <c r="O90" s="445"/>
      <c r="P90" s="446"/>
      <c r="Q90" s="446"/>
      <c r="R90" s="445"/>
      <c r="S90" s="604"/>
      <c r="T90" s="604"/>
      <c r="U90" s="604"/>
      <c r="V90" s="604"/>
      <c r="W90" s="604"/>
      <c r="X90" s="604"/>
      <c r="Y90" s="604"/>
      <c r="Z90" s="604"/>
      <c r="AA90" s="604"/>
      <c r="AB90" s="606"/>
    </row>
    <row r="91" spans="1:28" s="74" customFormat="1">
      <c r="A91" s="443"/>
      <c r="B91" s="447"/>
      <c r="C91" s="613"/>
      <c r="D91" s="614"/>
      <c r="E91" s="614"/>
      <c r="F91" s="614"/>
      <c r="G91" s="614"/>
      <c r="H91" s="614"/>
      <c r="I91" s="613"/>
      <c r="J91" s="613"/>
      <c r="K91" s="614"/>
      <c r="L91" s="614"/>
      <c r="M91" s="614"/>
      <c r="N91" s="613"/>
      <c r="O91" s="617"/>
      <c r="P91" s="614"/>
      <c r="Q91" s="614"/>
      <c r="R91" s="613"/>
      <c r="S91" s="615"/>
      <c r="T91" s="615"/>
      <c r="U91" s="615"/>
      <c r="V91" s="615"/>
      <c r="W91" s="615"/>
      <c r="X91" s="615"/>
      <c r="Y91" s="615"/>
      <c r="Z91" s="615"/>
      <c r="AA91" s="615"/>
      <c r="AB91" s="616"/>
    </row>
    <row r="92" spans="1:28" s="74" customFormat="1">
      <c r="A92" s="443"/>
      <c r="B92" s="444"/>
      <c r="C92" s="445"/>
      <c r="D92" s="446"/>
      <c r="E92" s="446"/>
      <c r="F92" s="446"/>
      <c r="G92" s="446"/>
      <c r="H92" s="446"/>
      <c r="I92" s="445"/>
      <c r="J92" s="445"/>
      <c r="K92" s="446"/>
      <c r="L92" s="446"/>
      <c r="M92" s="446"/>
      <c r="N92" s="445"/>
      <c r="O92" s="618"/>
      <c r="P92" s="446"/>
      <c r="Q92" s="446"/>
      <c r="R92" s="445"/>
      <c r="S92" s="604"/>
      <c r="T92" s="604"/>
      <c r="U92" s="604"/>
      <c r="V92" s="604"/>
      <c r="W92" s="604"/>
      <c r="X92" s="604"/>
      <c r="Y92" s="604"/>
      <c r="Z92" s="604"/>
      <c r="AA92" s="604"/>
      <c r="AB92" s="606"/>
    </row>
    <row r="93" spans="1:28" s="74" customFormat="1">
      <c r="A93" s="443"/>
      <c r="B93" s="444"/>
      <c r="C93" s="445"/>
      <c r="D93" s="446"/>
      <c r="E93" s="446"/>
      <c r="F93" s="446"/>
      <c r="G93" s="446"/>
      <c r="H93" s="446"/>
      <c r="I93" s="445"/>
      <c r="J93" s="445"/>
      <c r="K93" s="446"/>
      <c r="L93" s="446"/>
      <c r="M93" s="446"/>
      <c r="N93" s="445"/>
      <c r="O93" s="618"/>
      <c r="P93" s="446"/>
      <c r="Q93" s="446"/>
      <c r="R93" s="445"/>
      <c r="S93" s="604"/>
      <c r="T93" s="604"/>
      <c r="U93" s="604"/>
      <c r="V93" s="604"/>
      <c r="W93" s="604"/>
      <c r="X93" s="604"/>
      <c r="Y93" s="604"/>
      <c r="Z93" s="604"/>
      <c r="AA93" s="604"/>
      <c r="AB93" s="606"/>
    </row>
    <row r="94" spans="1:28" s="74" customFormat="1">
      <c r="A94" s="443"/>
      <c r="B94" s="447"/>
      <c r="C94" s="613"/>
      <c r="D94" s="614"/>
      <c r="E94" s="614"/>
      <c r="F94" s="614"/>
      <c r="G94" s="614"/>
      <c r="H94" s="614"/>
      <c r="I94" s="613"/>
      <c r="J94" s="613"/>
      <c r="K94" s="614"/>
      <c r="L94" s="614"/>
      <c r="M94" s="614"/>
      <c r="N94" s="613"/>
      <c r="O94" s="617"/>
      <c r="P94" s="614"/>
      <c r="Q94" s="614"/>
      <c r="R94" s="613"/>
      <c r="S94" s="615"/>
      <c r="T94" s="615"/>
      <c r="U94" s="615"/>
      <c r="V94" s="615"/>
      <c r="W94" s="615"/>
      <c r="X94" s="615"/>
      <c r="Y94" s="615"/>
      <c r="Z94" s="615"/>
      <c r="AA94" s="615"/>
      <c r="AB94" s="616"/>
    </row>
    <row r="95" spans="1:28" s="74" customFormat="1">
      <c r="A95" s="443"/>
      <c r="B95" s="444"/>
      <c r="C95" s="445"/>
      <c r="D95" s="446"/>
      <c r="E95" s="446"/>
      <c r="F95" s="446"/>
      <c r="G95" s="446"/>
      <c r="H95" s="446"/>
      <c r="I95" s="445"/>
      <c r="J95" s="445"/>
      <c r="K95" s="446"/>
      <c r="L95" s="446"/>
      <c r="M95" s="446"/>
      <c r="N95" s="445"/>
      <c r="O95" s="618"/>
      <c r="P95" s="446"/>
      <c r="Q95" s="446"/>
      <c r="R95" s="445"/>
      <c r="S95" s="604"/>
      <c r="T95" s="604"/>
      <c r="U95" s="604"/>
      <c r="V95" s="604"/>
      <c r="W95" s="604"/>
      <c r="X95" s="604"/>
      <c r="Y95" s="604"/>
      <c r="Z95" s="604"/>
      <c r="AA95" s="604"/>
      <c r="AB95" s="606"/>
    </row>
    <row r="96" spans="1:28" s="74" customFormat="1">
      <c r="A96" s="443"/>
      <c r="B96" s="444"/>
      <c r="C96" s="445"/>
      <c r="D96" s="446"/>
      <c r="E96" s="446"/>
      <c r="F96" s="446"/>
      <c r="G96" s="446"/>
      <c r="H96" s="446"/>
      <c r="I96" s="445"/>
      <c r="J96" s="445"/>
      <c r="K96" s="446"/>
      <c r="L96" s="446"/>
      <c r="M96" s="446"/>
      <c r="N96" s="445"/>
      <c r="O96" s="618"/>
      <c r="P96" s="446"/>
      <c r="Q96" s="446"/>
      <c r="R96" s="445"/>
      <c r="S96" s="604"/>
      <c r="T96" s="604"/>
      <c r="U96" s="604"/>
      <c r="V96" s="604"/>
      <c r="W96" s="604"/>
      <c r="X96" s="604"/>
      <c r="Y96" s="604"/>
      <c r="Z96" s="604"/>
      <c r="AA96" s="604"/>
      <c r="AB96" s="606"/>
    </row>
    <row r="97" spans="1:28" s="74" customFormat="1">
      <c r="A97" s="443"/>
      <c r="B97" s="447"/>
      <c r="C97" s="613"/>
      <c r="D97" s="625"/>
      <c r="E97" s="614"/>
      <c r="F97" s="614"/>
      <c r="G97" s="614"/>
      <c r="H97" s="614"/>
      <c r="I97" s="613"/>
      <c r="J97" s="613"/>
      <c r="K97" s="614"/>
      <c r="L97" s="614"/>
      <c r="M97" s="614"/>
      <c r="N97" s="613"/>
      <c r="O97" s="617"/>
      <c r="P97" s="614"/>
      <c r="Q97" s="614"/>
      <c r="R97" s="613"/>
      <c r="S97" s="615"/>
      <c r="T97" s="615"/>
      <c r="U97" s="615"/>
      <c r="V97" s="615"/>
      <c r="W97" s="615"/>
      <c r="X97" s="615"/>
      <c r="Y97" s="615"/>
      <c r="Z97" s="615"/>
      <c r="AA97" s="615"/>
      <c r="AB97" s="616"/>
    </row>
    <row r="98" spans="1:28" s="74" customFormat="1">
      <c r="A98" s="443"/>
      <c r="B98" s="444"/>
      <c r="C98" s="445"/>
      <c r="D98" s="446"/>
      <c r="E98" s="446"/>
      <c r="F98" s="446"/>
      <c r="G98" s="446"/>
      <c r="H98" s="446"/>
      <c r="I98" s="445"/>
      <c r="J98" s="445"/>
      <c r="K98" s="446"/>
      <c r="L98" s="446"/>
      <c r="M98" s="446"/>
      <c r="N98" s="445"/>
      <c r="O98" s="618"/>
      <c r="P98" s="446"/>
      <c r="Q98" s="446"/>
      <c r="R98" s="445"/>
      <c r="S98" s="604"/>
      <c r="T98" s="604"/>
      <c r="U98" s="604"/>
      <c r="V98" s="604"/>
      <c r="W98" s="604"/>
      <c r="X98" s="604"/>
      <c r="Y98" s="604"/>
      <c r="Z98" s="604"/>
      <c r="AA98" s="604"/>
      <c r="AB98" s="606"/>
    </row>
    <row r="99" spans="1:28" s="74" customFormat="1">
      <c r="A99" s="443"/>
      <c r="B99" s="444"/>
      <c r="C99" s="445"/>
      <c r="D99" s="446"/>
      <c r="E99" s="446"/>
      <c r="F99" s="446"/>
      <c r="G99" s="446"/>
      <c r="H99" s="446"/>
      <c r="I99" s="445"/>
      <c r="J99" s="445"/>
      <c r="K99" s="446"/>
      <c r="L99" s="446"/>
      <c r="M99" s="446"/>
      <c r="N99" s="445"/>
      <c r="O99" s="618"/>
      <c r="P99" s="446"/>
      <c r="Q99" s="446"/>
      <c r="R99" s="445"/>
      <c r="S99" s="604"/>
      <c r="T99" s="604"/>
      <c r="U99" s="604"/>
      <c r="V99" s="604"/>
      <c r="W99" s="604"/>
      <c r="X99" s="604"/>
      <c r="Y99" s="604"/>
      <c r="Z99" s="604"/>
      <c r="AA99" s="604"/>
      <c r="AB99" s="606"/>
    </row>
    <row r="100" spans="1:28" s="74" customFormat="1">
      <c r="A100" s="443"/>
      <c r="B100" s="447"/>
      <c r="C100" s="613"/>
      <c r="D100" s="614"/>
      <c r="E100" s="614"/>
      <c r="F100" s="614"/>
      <c r="G100" s="614"/>
      <c r="H100" s="614"/>
      <c r="I100" s="613"/>
      <c r="J100" s="613"/>
      <c r="K100" s="614"/>
      <c r="L100" s="614"/>
      <c r="M100" s="614"/>
      <c r="N100" s="613"/>
      <c r="O100" s="619"/>
      <c r="P100" s="614"/>
      <c r="Q100" s="614"/>
      <c r="R100" s="613"/>
      <c r="S100" s="615"/>
      <c r="T100" s="615"/>
      <c r="U100" s="615"/>
      <c r="V100" s="615"/>
      <c r="W100" s="615"/>
      <c r="X100" s="615"/>
      <c r="Y100" s="615"/>
      <c r="Z100" s="615"/>
      <c r="AA100" s="615"/>
      <c r="AB100" s="616"/>
    </row>
    <row r="101" spans="1:28" s="74" customFormat="1">
      <c r="A101" s="442"/>
      <c r="B101" s="440"/>
      <c r="C101" s="437"/>
      <c r="D101" s="441"/>
      <c r="E101" s="441"/>
      <c r="F101" s="441"/>
      <c r="G101" s="441"/>
      <c r="H101" s="441"/>
      <c r="I101" s="437"/>
      <c r="J101" s="437"/>
      <c r="K101" s="441"/>
      <c r="L101" s="441"/>
      <c r="M101" s="441"/>
      <c r="N101" s="437"/>
      <c r="O101" s="437"/>
      <c r="P101" s="441"/>
      <c r="Q101" s="441"/>
      <c r="R101" s="437"/>
      <c r="S101" s="603"/>
      <c r="T101" s="603"/>
      <c r="U101" s="603"/>
      <c r="V101" s="603"/>
      <c r="W101" s="603"/>
      <c r="X101" s="603"/>
      <c r="Y101" s="603"/>
      <c r="Z101" s="603"/>
      <c r="AA101" s="603"/>
      <c r="AB101" s="605"/>
    </row>
    <row r="102" spans="1:28" s="74" customFormat="1">
      <c r="A102" s="443"/>
      <c r="B102" s="444"/>
      <c r="C102" s="445"/>
      <c r="D102" s="446"/>
      <c r="E102" s="446"/>
      <c r="F102" s="446"/>
      <c r="G102" s="446"/>
      <c r="H102" s="446"/>
      <c r="I102" s="445"/>
      <c r="J102" s="445"/>
      <c r="K102" s="446"/>
      <c r="L102" s="446"/>
      <c r="M102" s="446"/>
      <c r="N102" s="445"/>
      <c r="O102" s="445"/>
      <c r="P102" s="446"/>
      <c r="Q102" s="446"/>
      <c r="R102" s="445"/>
      <c r="S102" s="604"/>
      <c r="T102" s="604"/>
      <c r="U102" s="604"/>
      <c r="V102" s="604"/>
      <c r="W102" s="604"/>
      <c r="X102" s="604"/>
      <c r="Y102" s="604"/>
      <c r="Z102" s="604"/>
      <c r="AA102" s="604"/>
      <c r="AB102" s="606"/>
    </row>
    <row r="103" spans="1:28" s="74" customFormat="1">
      <c r="A103" s="443"/>
      <c r="B103" s="447"/>
      <c r="C103" s="613"/>
      <c r="D103" s="614"/>
      <c r="E103" s="614"/>
      <c r="F103" s="614"/>
      <c r="G103" s="614"/>
      <c r="H103" s="614"/>
      <c r="I103" s="613"/>
      <c r="J103" s="613"/>
      <c r="K103" s="614"/>
      <c r="L103" s="614"/>
      <c r="M103" s="614"/>
      <c r="N103" s="613"/>
      <c r="O103" s="617"/>
      <c r="P103" s="614"/>
      <c r="Q103" s="614"/>
      <c r="R103" s="613"/>
      <c r="S103" s="615"/>
      <c r="T103" s="615"/>
      <c r="U103" s="615"/>
      <c r="V103" s="615"/>
      <c r="W103" s="615"/>
      <c r="X103" s="615"/>
      <c r="Y103" s="615"/>
      <c r="Z103" s="615"/>
      <c r="AA103" s="615"/>
      <c r="AB103" s="616"/>
    </row>
    <row r="104" spans="1:28" s="74" customFormat="1">
      <c r="A104" s="443"/>
      <c r="B104" s="444"/>
      <c r="C104" s="445"/>
      <c r="D104" s="446"/>
      <c r="E104" s="446"/>
      <c r="F104" s="446"/>
      <c r="G104" s="446"/>
      <c r="H104" s="446"/>
      <c r="I104" s="445"/>
      <c r="J104" s="445"/>
      <c r="K104" s="446"/>
      <c r="L104" s="446"/>
      <c r="M104" s="446"/>
      <c r="N104" s="445"/>
      <c r="O104" s="618"/>
      <c r="P104" s="446"/>
      <c r="Q104" s="446"/>
      <c r="R104" s="445"/>
      <c r="S104" s="604"/>
      <c r="T104" s="604"/>
      <c r="U104" s="604"/>
      <c r="V104" s="604"/>
      <c r="W104" s="604"/>
      <c r="X104" s="604"/>
      <c r="Y104" s="604"/>
      <c r="Z104" s="604"/>
      <c r="AA104" s="604"/>
      <c r="AB104" s="606"/>
    </row>
    <row r="105" spans="1:28" s="74" customFormat="1">
      <c r="A105" s="443"/>
      <c r="B105" s="444"/>
      <c r="C105" s="445"/>
      <c r="D105" s="446"/>
      <c r="E105" s="446"/>
      <c r="F105" s="446"/>
      <c r="G105" s="446"/>
      <c r="H105" s="446"/>
      <c r="I105" s="445"/>
      <c r="J105" s="445"/>
      <c r="K105" s="446"/>
      <c r="L105" s="446"/>
      <c r="M105" s="446"/>
      <c r="N105" s="445"/>
      <c r="O105" s="618"/>
      <c r="P105" s="446"/>
      <c r="Q105" s="446"/>
      <c r="R105" s="445"/>
      <c r="S105" s="604"/>
      <c r="T105" s="604"/>
      <c r="U105" s="604"/>
      <c r="V105" s="604"/>
      <c r="W105" s="604"/>
      <c r="X105" s="604"/>
      <c r="Y105" s="604"/>
      <c r="Z105" s="604"/>
      <c r="AA105" s="604"/>
      <c r="AB105" s="606"/>
    </row>
    <row r="106" spans="1:28" s="74" customFormat="1">
      <c r="A106" s="443"/>
      <c r="B106" s="447"/>
      <c r="C106" s="613"/>
      <c r="D106" s="614"/>
      <c r="E106" s="614"/>
      <c r="F106" s="614"/>
      <c r="G106" s="614"/>
      <c r="H106" s="614"/>
      <c r="I106" s="613"/>
      <c r="J106" s="613"/>
      <c r="K106" s="614"/>
      <c r="L106" s="614"/>
      <c r="M106" s="614"/>
      <c r="N106" s="613"/>
      <c r="O106" s="617"/>
      <c r="P106" s="614"/>
      <c r="Q106" s="614"/>
      <c r="R106" s="613"/>
      <c r="S106" s="615"/>
      <c r="T106" s="615"/>
      <c r="U106" s="615"/>
      <c r="V106" s="615"/>
      <c r="W106" s="615"/>
      <c r="X106" s="615"/>
      <c r="Y106" s="615"/>
      <c r="Z106" s="615"/>
      <c r="AA106" s="615"/>
      <c r="AB106" s="616"/>
    </row>
    <row r="107" spans="1:28" s="74" customFormat="1">
      <c r="A107" s="443"/>
      <c r="B107" s="444"/>
      <c r="C107" s="445"/>
      <c r="D107" s="446"/>
      <c r="E107" s="446"/>
      <c r="F107" s="446"/>
      <c r="G107" s="446"/>
      <c r="H107" s="446"/>
      <c r="I107" s="445"/>
      <c r="J107" s="445"/>
      <c r="K107" s="446"/>
      <c r="L107" s="446"/>
      <c r="M107" s="446"/>
      <c r="N107" s="445"/>
      <c r="O107" s="618"/>
      <c r="P107" s="446"/>
      <c r="Q107" s="446"/>
      <c r="R107" s="445"/>
      <c r="S107" s="604"/>
      <c r="T107" s="604"/>
      <c r="U107" s="604"/>
      <c r="V107" s="604"/>
      <c r="W107" s="604"/>
      <c r="X107" s="604"/>
      <c r="Y107" s="604"/>
      <c r="Z107" s="604"/>
      <c r="AA107" s="604"/>
      <c r="AB107" s="606"/>
    </row>
    <row r="108" spans="1:28" s="74" customFormat="1">
      <c r="A108" s="443"/>
      <c r="B108" s="444"/>
      <c r="C108" s="445"/>
      <c r="D108" s="446"/>
      <c r="E108" s="446"/>
      <c r="F108" s="446"/>
      <c r="G108" s="446"/>
      <c r="H108" s="446"/>
      <c r="I108" s="445"/>
      <c r="J108" s="445"/>
      <c r="K108" s="446"/>
      <c r="L108" s="446"/>
      <c r="M108" s="446"/>
      <c r="N108" s="445"/>
      <c r="O108" s="618"/>
      <c r="P108" s="446"/>
      <c r="Q108" s="446"/>
      <c r="R108" s="445"/>
      <c r="S108" s="604"/>
      <c r="T108" s="604"/>
      <c r="U108" s="604"/>
      <c r="V108" s="604"/>
      <c r="W108" s="604"/>
      <c r="X108" s="604"/>
      <c r="Y108" s="604"/>
      <c r="Z108" s="604"/>
      <c r="AA108" s="604"/>
      <c r="AB108" s="606"/>
    </row>
    <row r="109" spans="1:28" s="74" customFormat="1">
      <c r="A109" s="443"/>
      <c r="B109" s="447"/>
      <c r="C109" s="613"/>
      <c r="D109" s="614"/>
      <c r="E109" s="614"/>
      <c r="F109" s="614"/>
      <c r="G109" s="614"/>
      <c r="H109" s="614"/>
      <c r="I109" s="613"/>
      <c r="J109" s="613"/>
      <c r="K109" s="614"/>
      <c r="L109" s="614"/>
      <c r="M109" s="614"/>
      <c r="N109" s="613"/>
      <c r="O109" s="617"/>
      <c r="P109" s="614"/>
      <c r="Q109" s="614"/>
      <c r="R109" s="613"/>
      <c r="S109" s="615"/>
      <c r="T109" s="615"/>
      <c r="U109" s="615"/>
      <c r="V109" s="615"/>
      <c r="W109" s="615"/>
      <c r="X109" s="615"/>
      <c r="Y109" s="615"/>
      <c r="Z109" s="615"/>
      <c r="AA109" s="615"/>
      <c r="AB109" s="616"/>
    </row>
    <row r="110" spans="1:28" s="74" customFormat="1">
      <c r="A110" s="443"/>
      <c r="B110" s="444"/>
      <c r="C110" s="445"/>
      <c r="D110" s="446"/>
      <c r="E110" s="446"/>
      <c r="F110" s="446"/>
      <c r="G110" s="446"/>
      <c r="H110" s="446"/>
      <c r="I110" s="445"/>
      <c r="J110" s="445"/>
      <c r="K110" s="446"/>
      <c r="L110" s="446"/>
      <c r="M110" s="446"/>
      <c r="N110" s="445"/>
      <c r="O110" s="618"/>
      <c r="P110" s="446"/>
      <c r="Q110" s="446"/>
      <c r="R110" s="445"/>
      <c r="S110" s="604"/>
      <c r="T110" s="604"/>
      <c r="U110" s="604"/>
      <c r="V110" s="604"/>
      <c r="W110" s="604"/>
      <c r="X110" s="604"/>
      <c r="Y110" s="604"/>
      <c r="Z110" s="604"/>
      <c r="AA110" s="604"/>
      <c r="AB110" s="606"/>
    </row>
    <row r="111" spans="1:28" s="74" customFormat="1">
      <c r="A111" s="443"/>
      <c r="B111" s="444"/>
      <c r="C111" s="445"/>
      <c r="D111" s="446"/>
      <c r="E111" s="446"/>
      <c r="F111" s="446"/>
      <c r="G111" s="446"/>
      <c r="H111" s="446"/>
      <c r="I111" s="445"/>
      <c r="J111" s="445"/>
      <c r="K111" s="446"/>
      <c r="L111" s="446"/>
      <c r="M111" s="446"/>
      <c r="N111" s="445"/>
      <c r="O111" s="618"/>
      <c r="P111" s="446"/>
      <c r="Q111" s="446"/>
      <c r="R111" s="445"/>
      <c r="S111" s="604"/>
      <c r="T111" s="604"/>
      <c r="U111" s="604"/>
      <c r="V111" s="604"/>
      <c r="W111" s="604"/>
      <c r="X111" s="604"/>
      <c r="Y111" s="604"/>
      <c r="Z111" s="604"/>
      <c r="AA111" s="604"/>
      <c r="AB111" s="606"/>
    </row>
    <row r="112" spans="1:28" s="74" customFormat="1">
      <c r="A112" s="443"/>
      <c r="B112" s="447"/>
      <c r="C112" s="613"/>
      <c r="D112" s="614"/>
      <c r="E112" s="614"/>
      <c r="F112" s="614"/>
      <c r="G112" s="614"/>
      <c r="H112" s="614"/>
      <c r="I112" s="613"/>
      <c r="J112" s="613"/>
      <c r="K112" s="614"/>
      <c r="L112" s="614"/>
      <c r="M112" s="614"/>
      <c r="N112" s="613"/>
      <c r="O112" s="619"/>
      <c r="P112" s="614"/>
      <c r="Q112" s="614"/>
      <c r="R112" s="613"/>
      <c r="S112" s="615"/>
      <c r="T112" s="615"/>
      <c r="U112" s="615"/>
      <c r="V112" s="615"/>
      <c r="W112" s="615"/>
      <c r="X112" s="615"/>
      <c r="Y112" s="615"/>
      <c r="Z112" s="615"/>
      <c r="AA112" s="615"/>
      <c r="AB112" s="616"/>
    </row>
    <row r="113" spans="1:28" s="74" customFormat="1">
      <c r="A113" s="442"/>
      <c r="B113" s="440"/>
      <c r="C113" s="437"/>
      <c r="D113" s="441"/>
      <c r="E113" s="441"/>
      <c r="F113" s="441"/>
      <c r="G113" s="441"/>
      <c r="H113" s="441"/>
      <c r="I113" s="437"/>
      <c r="J113" s="437"/>
      <c r="K113" s="441"/>
      <c r="L113" s="441"/>
      <c r="M113" s="441"/>
      <c r="N113" s="437"/>
      <c r="O113" s="437"/>
      <c r="P113" s="441"/>
      <c r="Q113" s="441"/>
      <c r="R113" s="437"/>
      <c r="S113" s="603"/>
      <c r="T113" s="603"/>
      <c r="U113" s="603"/>
      <c r="V113" s="603"/>
      <c r="W113" s="603"/>
      <c r="X113" s="603"/>
      <c r="Y113" s="603"/>
      <c r="Z113" s="603"/>
      <c r="AA113" s="603"/>
      <c r="AB113" s="605"/>
    </row>
    <row r="114" spans="1:28" s="74" customFormat="1">
      <c r="A114" s="443"/>
      <c r="B114" s="444"/>
      <c r="C114" s="445"/>
      <c r="D114" s="446"/>
      <c r="E114" s="446"/>
      <c r="F114" s="446"/>
      <c r="G114" s="446"/>
      <c r="H114" s="446"/>
      <c r="I114" s="445"/>
      <c r="J114" s="445"/>
      <c r="K114" s="446"/>
      <c r="L114" s="446"/>
      <c r="M114" s="446"/>
      <c r="N114" s="445"/>
      <c r="O114" s="445"/>
      <c r="P114" s="446"/>
      <c r="Q114" s="446"/>
      <c r="R114" s="445"/>
      <c r="S114" s="604"/>
      <c r="T114" s="604"/>
      <c r="U114" s="604"/>
      <c r="V114" s="604"/>
      <c r="W114" s="604"/>
      <c r="X114" s="604"/>
      <c r="Y114" s="604"/>
      <c r="Z114" s="604"/>
      <c r="AA114" s="604"/>
      <c r="AB114" s="606"/>
    </row>
    <row r="115" spans="1:28" s="74" customFormat="1">
      <c r="A115" s="443"/>
      <c r="B115" s="447"/>
      <c r="C115" s="613"/>
      <c r="D115" s="614"/>
      <c r="E115" s="614"/>
      <c r="F115" s="614"/>
      <c r="G115" s="614"/>
      <c r="H115" s="614"/>
      <c r="I115" s="613"/>
      <c r="J115" s="613"/>
      <c r="K115" s="614"/>
      <c r="L115" s="614"/>
      <c r="M115" s="614"/>
      <c r="N115" s="613"/>
      <c r="O115" s="617"/>
      <c r="P115" s="614"/>
      <c r="Q115" s="614"/>
      <c r="R115" s="613"/>
      <c r="S115" s="615"/>
      <c r="T115" s="615"/>
      <c r="U115" s="615"/>
      <c r="V115" s="615"/>
      <c r="W115" s="615"/>
      <c r="X115" s="615"/>
      <c r="Y115" s="615"/>
      <c r="Z115" s="615"/>
      <c r="AA115" s="615"/>
      <c r="AB115" s="616"/>
    </row>
    <row r="116" spans="1:28" s="74" customFormat="1">
      <c r="A116" s="443"/>
      <c r="B116" s="444"/>
      <c r="C116" s="445"/>
      <c r="D116" s="446"/>
      <c r="E116" s="446"/>
      <c r="F116" s="446"/>
      <c r="G116" s="446"/>
      <c r="H116" s="446"/>
      <c r="I116" s="445"/>
      <c r="J116" s="445"/>
      <c r="K116" s="446"/>
      <c r="L116" s="446"/>
      <c r="M116" s="446"/>
      <c r="N116" s="445"/>
      <c r="O116" s="618"/>
      <c r="P116" s="446"/>
      <c r="Q116" s="446"/>
      <c r="R116" s="445"/>
      <c r="S116" s="604"/>
      <c r="T116" s="604"/>
      <c r="U116" s="604"/>
      <c r="V116" s="604"/>
      <c r="W116" s="604"/>
      <c r="X116" s="604"/>
      <c r="Y116" s="604"/>
      <c r="Z116" s="604"/>
      <c r="AA116" s="604"/>
      <c r="AB116" s="606"/>
    </row>
    <row r="117" spans="1:28" s="74" customFormat="1">
      <c r="A117" s="443"/>
      <c r="B117" s="444"/>
      <c r="C117" s="445"/>
      <c r="D117" s="446"/>
      <c r="E117" s="446"/>
      <c r="F117" s="446"/>
      <c r="G117" s="446"/>
      <c r="H117" s="446"/>
      <c r="I117" s="445"/>
      <c r="J117" s="445"/>
      <c r="K117" s="446"/>
      <c r="L117" s="446"/>
      <c r="M117" s="446"/>
      <c r="N117" s="445"/>
      <c r="O117" s="618"/>
      <c r="P117" s="446"/>
      <c r="Q117" s="446"/>
      <c r="R117" s="445"/>
      <c r="S117" s="604"/>
      <c r="T117" s="604"/>
      <c r="U117" s="604"/>
      <c r="V117" s="604"/>
      <c r="W117" s="604"/>
      <c r="X117" s="604"/>
      <c r="Y117" s="604"/>
      <c r="Z117" s="604"/>
      <c r="AA117" s="604"/>
      <c r="AB117" s="606"/>
    </row>
    <row r="118" spans="1:28" s="74" customFormat="1">
      <c r="A118" s="443"/>
      <c r="B118" s="447"/>
      <c r="C118" s="613"/>
      <c r="D118" s="614"/>
      <c r="E118" s="614"/>
      <c r="F118" s="614"/>
      <c r="G118" s="614"/>
      <c r="H118" s="614"/>
      <c r="I118" s="613"/>
      <c r="J118" s="613"/>
      <c r="K118" s="614"/>
      <c r="L118" s="614"/>
      <c r="M118" s="614"/>
      <c r="N118" s="613"/>
      <c r="O118" s="617"/>
      <c r="P118" s="614"/>
      <c r="Q118" s="614"/>
      <c r="R118" s="613"/>
      <c r="S118" s="615"/>
      <c r="T118" s="615"/>
      <c r="U118" s="615"/>
      <c r="V118" s="615"/>
      <c r="W118" s="615"/>
      <c r="X118" s="615"/>
      <c r="Y118" s="615"/>
      <c r="Z118" s="615"/>
      <c r="AA118" s="615"/>
      <c r="AB118" s="616"/>
    </row>
    <row r="119" spans="1:28" s="74" customFormat="1">
      <c r="A119" s="443"/>
      <c r="B119" s="444"/>
      <c r="C119" s="445"/>
      <c r="D119" s="446"/>
      <c r="E119" s="446"/>
      <c r="F119" s="446"/>
      <c r="G119" s="446"/>
      <c r="H119" s="446"/>
      <c r="I119" s="445"/>
      <c r="J119" s="445"/>
      <c r="K119" s="446"/>
      <c r="L119" s="446"/>
      <c r="M119" s="446"/>
      <c r="N119" s="445"/>
      <c r="O119" s="618"/>
      <c r="P119" s="446"/>
      <c r="Q119" s="446"/>
      <c r="R119" s="445"/>
      <c r="S119" s="604"/>
      <c r="T119" s="604"/>
      <c r="U119" s="604"/>
      <c r="V119" s="604"/>
      <c r="W119" s="604"/>
      <c r="X119" s="604"/>
      <c r="Y119" s="604"/>
      <c r="Z119" s="604"/>
      <c r="AA119" s="604"/>
      <c r="AB119" s="606"/>
    </row>
    <row r="120" spans="1:28" s="74" customFormat="1">
      <c r="A120" s="443"/>
      <c r="B120" s="444"/>
      <c r="C120" s="445"/>
      <c r="D120" s="446"/>
      <c r="E120" s="446"/>
      <c r="F120" s="446"/>
      <c r="G120" s="446"/>
      <c r="H120" s="446"/>
      <c r="I120" s="445"/>
      <c r="J120" s="445"/>
      <c r="K120" s="446"/>
      <c r="L120" s="446"/>
      <c r="M120" s="446"/>
      <c r="N120" s="445"/>
      <c r="O120" s="618"/>
      <c r="P120" s="446"/>
      <c r="Q120" s="446"/>
      <c r="R120" s="445"/>
      <c r="S120" s="604"/>
      <c r="T120" s="604"/>
      <c r="U120" s="604"/>
      <c r="V120" s="604"/>
      <c r="W120" s="604"/>
      <c r="X120" s="604"/>
      <c r="Y120" s="604"/>
      <c r="Z120" s="604"/>
      <c r="AA120" s="604"/>
      <c r="AB120" s="606"/>
    </row>
    <row r="121" spans="1:28" s="74" customFormat="1">
      <c r="A121" s="443"/>
      <c r="B121" s="447"/>
      <c r="C121" s="613"/>
      <c r="D121" s="614"/>
      <c r="E121" s="614"/>
      <c r="F121" s="614"/>
      <c r="G121" s="614"/>
      <c r="H121" s="614"/>
      <c r="I121" s="613"/>
      <c r="J121" s="613"/>
      <c r="K121" s="614"/>
      <c r="L121" s="614"/>
      <c r="M121" s="614"/>
      <c r="N121" s="613"/>
      <c r="O121" s="617"/>
      <c r="P121" s="614"/>
      <c r="Q121" s="614"/>
      <c r="R121" s="613"/>
      <c r="S121" s="615"/>
      <c r="T121" s="615"/>
      <c r="U121" s="615"/>
      <c r="V121" s="615"/>
      <c r="W121" s="615"/>
      <c r="X121" s="615"/>
      <c r="Y121" s="615"/>
      <c r="Z121" s="615"/>
      <c r="AA121" s="615"/>
      <c r="AB121" s="616"/>
    </row>
    <row r="122" spans="1:28" s="74" customFormat="1">
      <c r="A122" s="443"/>
      <c r="B122" s="444"/>
      <c r="C122" s="445"/>
      <c r="D122" s="446"/>
      <c r="E122" s="446"/>
      <c r="F122" s="446"/>
      <c r="G122" s="446"/>
      <c r="H122" s="446"/>
      <c r="I122" s="445"/>
      <c r="J122" s="445"/>
      <c r="K122" s="446"/>
      <c r="L122" s="446"/>
      <c r="M122" s="446"/>
      <c r="N122" s="445"/>
      <c r="O122" s="618"/>
      <c r="P122" s="446"/>
      <c r="Q122" s="446"/>
      <c r="R122" s="445"/>
      <c r="S122" s="604"/>
      <c r="T122" s="604"/>
      <c r="U122" s="604"/>
      <c r="V122" s="604"/>
      <c r="W122" s="604"/>
      <c r="X122" s="604"/>
      <c r="Y122" s="604"/>
      <c r="Z122" s="604"/>
      <c r="AA122" s="604"/>
      <c r="AB122" s="606"/>
    </row>
    <row r="123" spans="1:28" s="74" customFormat="1">
      <c r="A123" s="443"/>
      <c r="B123" s="444"/>
      <c r="C123" s="445"/>
      <c r="D123" s="446"/>
      <c r="E123" s="446"/>
      <c r="F123" s="446"/>
      <c r="G123" s="446"/>
      <c r="H123" s="446"/>
      <c r="I123" s="445"/>
      <c r="J123" s="445"/>
      <c r="K123" s="446"/>
      <c r="L123" s="446"/>
      <c r="M123" s="446"/>
      <c r="N123" s="445"/>
      <c r="O123" s="618"/>
      <c r="P123" s="446"/>
      <c r="Q123" s="446"/>
      <c r="R123" s="445"/>
      <c r="S123" s="604"/>
      <c r="T123" s="604"/>
      <c r="U123" s="604"/>
      <c r="V123" s="604"/>
      <c r="W123" s="604"/>
      <c r="X123" s="604"/>
      <c r="Y123" s="604"/>
      <c r="Z123" s="604"/>
      <c r="AA123" s="604"/>
      <c r="AB123" s="606"/>
    </row>
    <row r="124" spans="1:28" s="74" customFormat="1">
      <c r="A124" s="443"/>
      <c r="B124" s="447"/>
      <c r="C124" s="613"/>
      <c r="D124" s="614"/>
      <c r="E124" s="614"/>
      <c r="F124" s="614"/>
      <c r="G124" s="614"/>
      <c r="H124" s="614"/>
      <c r="I124" s="613"/>
      <c r="J124" s="613"/>
      <c r="K124" s="614"/>
      <c r="L124" s="614"/>
      <c r="M124" s="614"/>
      <c r="N124" s="613"/>
      <c r="O124" s="619"/>
      <c r="P124" s="614"/>
      <c r="Q124" s="614"/>
      <c r="R124" s="613"/>
      <c r="S124" s="615"/>
      <c r="T124" s="615"/>
      <c r="U124" s="615"/>
      <c r="V124" s="615"/>
      <c r="W124" s="615"/>
      <c r="X124" s="615"/>
      <c r="Y124" s="615"/>
      <c r="Z124" s="615"/>
      <c r="AA124" s="615"/>
      <c r="AB124" s="616"/>
    </row>
    <row r="125" spans="1:28" s="74" customFormat="1">
      <c r="A125" s="442"/>
      <c r="B125" s="440"/>
      <c r="C125" s="437"/>
      <c r="D125" s="441"/>
      <c r="E125" s="441"/>
      <c r="F125" s="441"/>
      <c r="G125" s="441"/>
      <c r="H125" s="441"/>
      <c r="I125" s="437"/>
      <c r="J125" s="437"/>
      <c r="K125" s="441"/>
      <c r="L125" s="441"/>
      <c r="M125" s="441"/>
      <c r="N125" s="437"/>
      <c r="O125" s="437"/>
      <c r="P125" s="441"/>
      <c r="Q125" s="441"/>
      <c r="R125" s="437"/>
      <c r="S125" s="603"/>
      <c r="T125" s="603"/>
      <c r="U125" s="603"/>
      <c r="V125" s="603"/>
      <c r="W125" s="603"/>
      <c r="X125" s="603"/>
      <c r="Y125" s="603"/>
      <c r="Z125" s="603"/>
      <c r="AA125" s="603"/>
      <c r="AB125" s="605"/>
    </row>
    <row r="126" spans="1:28" s="74" customFormat="1">
      <c r="A126" s="443"/>
      <c r="B126" s="444"/>
      <c r="C126" s="445"/>
      <c r="D126" s="446"/>
      <c r="E126" s="446"/>
      <c r="F126" s="446"/>
      <c r="G126" s="446"/>
      <c r="H126" s="446"/>
      <c r="I126" s="445"/>
      <c r="J126" s="445"/>
      <c r="K126" s="446"/>
      <c r="L126" s="446"/>
      <c r="M126" s="446"/>
      <c r="N126" s="445"/>
      <c r="O126" s="445"/>
      <c r="P126" s="446"/>
      <c r="Q126" s="446"/>
      <c r="R126" s="445"/>
      <c r="S126" s="604"/>
      <c r="T126" s="604"/>
      <c r="U126" s="604"/>
      <c r="V126" s="604"/>
      <c r="W126" s="604"/>
      <c r="X126" s="604"/>
      <c r="Y126" s="604"/>
      <c r="Z126" s="604"/>
      <c r="AA126" s="604"/>
      <c r="AB126" s="606"/>
    </row>
    <row r="127" spans="1:28" s="74" customFormat="1">
      <c r="A127" s="443"/>
      <c r="B127" s="447"/>
      <c r="C127" s="613"/>
      <c r="D127" s="614"/>
      <c r="E127" s="614"/>
      <c r="F127" s="614"/>
      <c r="G127" s="614"/>
      <c r="H127" s="614"/>
      <c r="I127" s="613"/>
      <c r="J127" s="613"/>
      <c r="K127" s="614"/>
      <c r="L127" s="614"/>
      <c r="M127" s="614"/>
      <c r="N127" s="613"/>
      <c r="O127" s="617"/>
      <c r="P127" s="614"/>
      <c r="Q127" s="614"/>
      <c r="R127" s="613"/>
      <c r="S127" s="615"/>
      <c r="T127" s="615"/>
      <c r="U127" s="615"/>
      <c r="V127" s="615"/>
      <c r="W127" s="615"/>
      <c r="X127" s="615"/>
      <c r="Y127" s="615"/>
      <c r="Z127" s="615"/>
      <c r="AA127" s="615"/>
      <c r="AB127" s="616"/>
    </row>
    <row r="128" spans="1:28" s="74" customFormat="1">
      <c r="A128" s="443"/>
      <c r="B128" s="444"/>
      <c r="C128" s="445"/>
      <c r="D128" s="446"/>
      <c r="E128" s="446"/>
      <c r="F128" s="446"/>
      <c r="G128" s="446"/>
      <c r="H128" s="446"/>
      <c r="I128" s="445"/>
      <c r="J128" s="445"/>
      <c r="K128" s="446"/>
      <c r="L128" s="446"/>
      <c r="M128" s="446"/>
      <c r="N128" s="445"/>
      <c r="O128" s="618"/>
      <c r="P128" s="446"/>
      <c r="Q128" s="446"/>
      <c r="R128" s="445"/>
      <c r="S128" s="604"/>
      <c r="T128" s="604"/>
      <c r="U128" s="604"/>
      <c r="V128" s="604"/>
      <c r="W128" s="604"/>
      <c r="X128" s="604"/>
      <c r="Y128" s="604"/>
      <c r="Z128" s="604"/>
      <c r="AA128" s="604"/>
      <c r="AB128" s="606"/>
    </row>
    <row r="129" spans="1:28" s="74" customFormat="1">
      <c r="A129" s="443"/>
      <c r="B129" s="444"/>
      <c r="C129" s="445"/>
      <c r="D129" s="446"/>
      <c r="E129" s="446"/>
      <c r="F129" s="446"/>
      <c r="G129" s="446"/>
      <c r="H129" s="446"/>
      <c r="I129" s="445"/>
      <c r="J129" s="445"/>
      <c r="K129" s="446"/>
      <c r="L129" s="446"/>
      <c r="M129" s="446"/>
      <c r="N129" s="445"/>
      <c r="O129" s="618"/>
      <c r="P129" s="446"/>
      <c r="Q129" s="446"/>
      <c r="R129" s="445"/>
      <c r="S129" s="604"/>
      <c r="T129" s="604"/>
      <c r="U129" s="604"/>
      <c r="V129" s="604"/>
      <c r="W129" s="604"/>
      <c r="X129" s="604"/>
      <c r="Y129" s="604"/>
      <c r="Z129" s="604"/>
      <c r="AA129" s="604"/>
      <c r="AB129" s="606"/>
    </row>
    <row r="130" spans="1:28" s="74" customFormat="1">
      <c r="A130" s="443"/>
      <c r="B130" s="447"/>
      <c r="C130" s="613"/>
      <c r="D130" s="614"/>
      <c r="E130" s="614"/>
      <c r="F130" s="614"/>
      <c r="G130" s="614"/>
      <c r="H130" s="614"/>
      <c r="I130" s="613"/>
      <c r="J130" s="613"/>
      <c r="K130" s="614"/>
      <c r="L130" s="614"/>
      <c r="M130" s="614"/>
      <c r="N130" s="613"/>
      <c r="O130" s="617"/>
      <c r="P130" s="614"/>
      <c r="Q130" s="614"/>
      <c r="R130" s="613"/>
      <c r="S130" s="615"/>
      <c r="T130" s="615"/>
      <c r="U130" s="615"/>
      <c r="V130" s="615"/>
      <c r="W130" s="615"/>
      <c r="X130" s="615"/>
      <c r="Y130" s="615"/>
      <c r="Z130" s="615"/>
      <c r="AA130" s="615"/>
      <c r="AB130" s="616"/>
    </row>
    <row r="131" spans="1:28" s="74" customFormat="1">
      <c r="A131" s="443"/>
      <c r="B131" s="444"/>
      <c r="C131" s="445"/>
      <c r="D131" s="446"/>
      <c r="E131" s="446"/>
      <c r="F131" s="446"/>
      <c r="G131" s="446"/>
      <c r="H131" s="446"/>
      <c r="I131" s="445"/>
      <c r="J131" s="445"/>
      <c r="K131" s="446"/>
      <c r="L131" s="446"/>
      <c r="M131" s="446"/>
      <c r="N131" s="445"/>
      <c r="O131" s="618"/>
      <c r="P131" s="446"/>
      <c r="Q131" s="446"/>
      <c r="R131" s="445"/>
      <c r="S131" s="604"/>
      <c r="T131" s="604"/>
      <c r="U131" s="604"/>
      <c r="V131" s="604"/>
      <c r="W131" s="604"/>
      <c r="X131" s="604"/>
      <c r="Y131" s="604"/>
      <c r="Z131" s="604"/>
      <c r="AA131" s="604"/>
      <c r="AB131" s="606"/>
    </row>
    <row r="132" spans="1:28" s="74" customFormat="1">
      <c r="A132" s="443"/>
      <c r="B132" s="444"/>
      <c r="C132" s="445"/>
      <c r="D132" s="446"/>
      <c r="E132" s="446"/>
      <c r="F132" s="446"/>
      <c r="G132" s="446"/>
      <c r="H132" s="446"/>
      <c r="I132" s="445"/>
      <c r="J132" s="445"/>
      <c r="K132" s="446"/>
      <c r="L132" s="446"/>
      <c r="M132" s="446"/>
      <c r="N132" s="445"/>
      <c r="O132" s="618"/>
      <c r="P132" s="446"/>
      <c r="Q132" s="446"/>
      <c r="R132" s="445"/>
      <c r="S132" s="604"/>
      <c r="T132" s="604"/>
      <c r="U132" s="604"/>
      <c r="V132" s="604"/>
      <c r="W132" s="604"/>
      <c r="X132" s="604"/>
      <c r="Y132" s="604"/>
      <c r="Z132" s="604"/>
      <c r="AA132" s="604"/>
      <c r="AB132" s="606"/>
    </row>
    <row r="133" spans="1:28" s="74" customFormat="1">
      <c r="A133" s="443"/>
      <c r="B133" s="447"/>
      <c r="C133" s="613"/>
      <c r="D133" s="614"/>
      <c r="E133" s="614"/>
      <c r="F133" s="614"/>
      <c r="G133" s="614"/>
      <c r="H133" s="614"/>
      <c r="I133" s="613"/>
      <c r="J133" s="613"/>
      <c r="K133" s="614"/>
      <c r="L133" s="614"/>
      <c r="M133" s="614"/>
      <c r="N133" s="613"/>
      <c r="O133" s="617"/>
      <c r="P133" s="614"/>
      <c r="Q133" s="614"/>
      <c r="R133" s="613"/>
      <c r="S133" s="615"/>
      <c r="T133" s="615"/>
      <c r="U133" s="615"/>
      <c r="V133" s="615"/>
      <c r="W133" s="615"/>
      <c r="X133" s="615"/>
      <c r="Y133" s="615"/>
      <c r="Z133" s="615"/>
      <c r="AA133" s="615"/>
      <c r="AB133" s="616"/>
    </row>
    <row r="134" spans="1:28" s="74" customFormat="1">
      <c r="A134" s="443"/>
      <c r="B134" s="444"/>
      <c r="C134" s="445"/>
      <c r="D134" s="446"/>
      <c r="E134" s="446"/>
      <c r="F134" s="446"/>
      <c r="G134" s="446"/>
      <c r="H134" s="446"/>
      <c r="I134" s="445"/>
      <c r="J134" s="445"/>
      <c r="K134" s="446"/>
      <c r="L134" s="446"/>
      <c r="M134" s="446"/>
      <c r="N134" s="445"/>
      <c r="O134" s="618"/>
      <c r="P134" s="446"/>
      <c r="Q134" s="446"/>
      <c r="R134" s="445"/>
      <c r="S134" s="604"/>
      <c r="T134" s="604"/>
      <c r="U134" s="604"/>
      <c r="V134" s="604"/>
      <c r="W134" s="604"/>
      <c r="X134" s="604"/>
      <c r="Y134" s="604"/>
      <c r="Z134" s="604"/>
      <c r="AA134" s="604"/>
      <c r="AB134" s="606"/>
    </row>
    <row r="135" spans="1:28" s="74" customFormat="1">
      <c r="A135" s="443"/>
      <c r="B135" s="444"/>
      <c r="C135" s="445"/>
      <c r="D135" s="446"/>
      <c r="E135" s="446"/>
      <c r="F135" s="446"/>
      <c r="G135" s="446"/>
      <c r="H135" s="446"/>
      <c r="I135" s="445"/>
      <c r="J135" s="445"/>
      <c r="K135" s="446"/>
      <c r="L135" s="446"/>
      <c r="M135" s="446"/>
      <c r="N135" s="445"/>
      <c r="O135" s="618"/>
      <c r="P135" s="446"/>
      <c r="Q135" s="446"/>
      <c r="R135" s="445"/>
      <c r="S135" s="604"/>
      <c r="T135" s="604"/>
      <c r="U135" s="604"/>
      <c r="V135" s="604"/>
      <c r="W135" s="604"/>
      <c r="X135" s="604"/>
      <c r="Y135" s="604"/>
      <c r="Z135" s="604"/>
      <c r="AA135" s="604"/>
      <c r="AB135" s="606"/>
    </row>
    <row r="136" spans="1:28" s="74" customFormat="1">
      <c r="A136" s="443"/>
      <c r="B136" s="447"/>
      <c r="C136" s="613"/>
      <c r="D136" s="614"/>
      <c r="E136" s="614"/>
      <c r="F136" s="614"/>
      <c r="G136" s="614"/>
      <c r="H136" s="614"/>
      <c r="I136" s="613"/>
      <c r="J136" s="613"/>
      <c r="K136" s="614"/>
      <c r="L136" s="614"/>
      <c r="M136" s="614"/>
      <c r="N136" s="613"/>
      <c r="O136" s="619"/>
      <c r="P136" s="614"/>
      <c r="Q136" s="614"/>
      <c r="R136" s="613"/>
      <c r="S136" s="615"/>
      <c r="T136" s="615"/>
      <c r="U136" s="615"/>
      <c r="V136" s="615"/>
      <c r="W136" s="615"/>
      <c r="X136" s="615"/>
      <c r="Y136" s="615"/>
      <c r="Z136" s="615"/>
      <c r="AA136" s="615"/>
      <c r="AB136" s="616"/>
    </row>
    <row r="137" spans="1:28" s="74" customFormat="1">
      <c r="A137" s="442"/>
      <c r="B137" s="440"/>
      <c r="C137" s="437"/>
      <c r="D137" s="441"/>
      <c r="E137" s="441"/>
      <c r="F137" s="441"/>
      <c r="G137" s="441"/>
      <c r="H137" s="441"/>
      <c r="I137" s="437"/>
      <c r="J137" s="437"/>
      <c r="K137" s="441"/>
      <c r="L137" s="441"/>
      <c r="M137" s="441"/>
      <c r="N137" s="437"/>
      <c r="O137" s="437"/>
      <c r="P137" s="441"/>
      <c r="Q137" s="441"/>
      <c r="R137" s="437"/>
      <c r="S137" s="603"/>
      <c r="T137" s="603"/>
      <c r="U137" s="603"/>
      <c r="V137" s="603"/>
      <c r="W137" s="603"/>
      <c r="X137" s="603"/>
      <c r="Y137" s="603"/>
      <c r="Z137" s="603"/>
      <c r="AA137" s="603"/>
      <c r="AB137" s="605"/>
    </row>
    <row r="138" spans="1:28" s="74" customFormat="1">
      <c r="A138" s="443"/>
      <c r="B138" s="444"/>
      <c r="C138" s="445"/>
      <c r="D138" s="446"/>
      <c r="E138" s="446"/>
      <c r="F138" s="446"/>
      <c r="G138" s="446"/>
      <c r="H138" s="446"/>
      <c r="I138" s="445"/>
      <c r="J138" s="445"/>
      <c r="K138" s="446"/>
      <c r="L138" s="446"/>
      <c r="M138" s="446"/>
      <c r="N138" s="445"/>
      <c r="O138" s="445"/>
      <c r="P138" s="446"/>
      <c r="Q138" s="446"/>
      <c r="R138" s="445"/>
      <c r="S138" s="604"/>
      <c r="T138" s="604"/>
      <c r="U138" s="604"/>
      <c r="V138" s="604"/>
      <c r="W138" s="604"/>
      <c r="X138" s="604"/>
      <c r="Y138" s="604"/>
      <c r="Z138" s="604"/>
      <c r="AA138" s="604"/>
      <c r="AB138" s="606"/>
    </row>
    <row r="139" spans="1:28" s="74" customFormat="1">
      <c r="A139" s="443"/>
      <c r="B139" s="447"/>
      <c r="C139" s="613"/>
      <c r="D139" s="614"/>
      <c r="E139" s="614"/>
      <c r="F139" s="614"/>
      <c r="G139" s="614"/>
      <c r="H139" s="614"/>
      <c r="I139" s="613"/>
      <c r="J139" s="613"/>
      <c r="K139" s="614"/>
      <c r="L139" s="625"/>
      <c r="M139" s="614"/>
      <c r="N139" s="613"/>
      <c r="O139" s="617"/>
      <c r="P139" s="614"/>
      <c r="Q139" s="614"/>
      <c r="R139" s="613"/>
      <c r="S139" s="615"/>
      <c r="T139" s="615"/>
      <c r="U139" s="615"/>
      <c r="V139" s="615"/>
      <c r="W139" s="615"/>
      <c r="X139" s="615"/>
      <c r="Y139" s="615"/>
      <c r="Z139" s="615"/>
      <c r="AA139" s="615"/>
      <c r="AB139" s="616"/>
    </row>
    <row r="140" spans="1:28" s="74" customFormat="1">
      <c r="A140" s="443"/>
      <c r="B140" s="444"/>
      <c r="C140" s="445"/>
      <c r="D140" s="446"/>
      <c r="E140" s="446"/>
      <c r="F140" s="446"/>
      <c r="G140" s="446"/>
      <c r="H140" s="446"/>
      <c r="I140" s="445"/>
      <c r="J140" s="445"/>
      <c r="K140" s="446"/>
      <c r="L140" s="446"/>
      <c r="M140" s="446"/>
      <c r="N140" s="445"/>
      <c r="O140" s="618"/>
      <c r="P140" s="446"/>
      <c r="Q140" s="446"/>
      <c r="R140" s="445"/>
      <c r="S140" s="604"/>
      <c r="T140" s="604"/>
      <c r="U140" s="604"/>
      <c r="V140" s="604"/>
      <c r="W140" s="604"/>
      <c r="X140" s="604"/>
      <c r="Y140" s="604"/>
      <c r="Z140" s="604"/>
      <c r="AA140" s="604"/>
      <c r="AB140" s="606"/>
    </row>
    <row r="141" spans="1:28" s="74" customFormat="1">
      <c r="A141" s="443"/>
      <c r="B141" s="444"/>
      <c r="C141" s="445"/>
      <c r="D141" s="446"/>
      <c r="E141" s="446"/>
      <c r="F141" s="446"/>
      <c r="G141" s="446"/>
      <c r="H141" s="446"/>
      <c r="I141" s="445"/>
      <c r="J141" s="445"/>
      <c r="K141" s="446"/>
      <c r="L141" s="446"/>
      <c r="M141" s="446"/>
      <c r="N141" s="445"/>
      <c r="O141" s="618"/>
      <c r="P141" s="446"/>
      <c r="Q141" s="446"/>
      <c r="R141" s="445"/>
      <c r="S141" s="604"/>
      <c r="T141" s="604"/>
      <c r="U141" s="604"/>
      <c r="V141" s="604"/>
      <c r="W141" s="604"/>
      <c r="X141" s="604"/>
      <c r="Y141" s="604"/>
      <c r="Z141" s="604"/>
      <c r="AA141" s="604"/>
      <c r="AB141" s="606"/>
    </row>
    <row r="142" spans="1:28" s="74" customFormat="1">
      <c r="A142" s="443"/>
      <c r="B142" s="447"/>
      <c r="C142" s="613"/>
      <c r="D142" s="614"/>
      <c r="E142" s="614"/>
      <c r="F142" s="614"/>
      <c r="G142" s="614"/>
      <c r="H142" s="614"/>
      <c r="I142" s="613"/>
      <c r="J142" s="613"/>
      <c r="K142" s="614"/>
      <c r="L142" s="614"/>
      <c r="M142" s="614"/>
      <c r="N142" s="613"/>
      <c r="O142" s="617"/>
      <c r="P142" s="614"/>
      <c r="Q142" s="614"/>
      <c r="R142" s="613"/>
      <c r="S142" s="615"/>
      <c r="T142" s="615"/>
      <c r="U142" s="615"/>
      <c r="V142" s="615"/>
      <c r="W142" s="615"/>
      <c r="X142" s="615"/>
      <c r="Y142" s="615"/>
      <c r="Z142" s="615"/>
      <c r="AA142" s="615"/>
      <c r="AB142" s="616"/>
    </row>
    <row r="143" spans="1:28" s="74" customFormat="1">
      <c r="A143" s="443"/>
      <c r="B143" s="444"/>
      <c r="C143" s="445"/>
      <c r="D143" s="446"/>
      <c r="E143" s="446"/>
      <c r="F143" s="446"/>
      <c r="G143" s="446"/>
      <c r="H143" s="446"/>
      <c r="I143" s="445"/>
      <c r="J143" s="445"/>
      <c r="K143" s="446"/>
      <c r="L143" s="446"/>
      <c r="M143" s="446"/>
      <c r="N143" s="445"/>
      <c r="O143" s="618"/>
      <c r="P143" s="446"/>
      <c r="Q143" s="446"/>
      <c r="R143" s="445"/>
      <c r="S143" s="604"/>
      <c r="T143" s="604"/>
      <c r="U143" s="604"/>
      <c r="V143" s="604"/>
      <c r="W143" s="604"/>
      <c r="X143" s="604"/>
      <c r="Y143" s="604"/>
      <c r="Z143" s="604"/>
      <c r="AA143" s="604"/>
      <c r="AB143" s="606"/>
    </row>
    <row r="144" spans="1:28" s="74" customFormat="1">
      <c r="A144" s="443"/>
      <c r="B144" s="444"/>
      <c r="C144" s="445"/>
      <c r="D144" s="446"/>
      <c r="E144" s="446"/>
      <c r="F144" s="446"/>
      <c r="G144" s="446"/>
      <c r="H144" s="446"/>
      <c r="I144" s="445"/>
      <c r="J144" s="445"/>
      <c r="K144" s="446"/>
      <c r="L144" s="446"/>
      <c r="M144" s="446"/>
      <c r="N144" s="445"/>
      <c r="O144" s="618"/>
      <c r="P144" s="446"/>
      <c r="Q144" s="446"/>
      <c r="R144" s="445"/>
      <c r="S144" s="604"/>
      <c r="T144" s="604"/>
      <c r="U144" s="604"/>
      <c r="V144" s="604"/>
      <c r="W144" s="604"/>
      <c r="X144" s="604"/>
      <c r="Y144" s="604"/>
      <c r="Z144" s="604"/>
      <c r="AA144" s="604"/>
      <c r="AB144" s="606"/>
    </row>
    <row r="145" spans="1:28" s="74" customFormat="1">
      <c r="A145" s="443"/>
      <c r="B145" s="447"/>
      <c r="C145" s="613"/>
      <c r="D145" s="614"/>
      <c r="E145" s="614"/>
      <c r="F145" s="614"/>
      <c r="G145" s="614"/>
      <c r="H145" s="614"/>
      <c r="I145" s="613"/>
      <c r="J145" s="613"/>
      <c r="K145" s="614"/>
      <c r="L145" s="614"/>
      <c r="M145" s="614"/>
      <c r="N145" s="613"/>
      <c r="O145" s="617"/>
      <c r="P145" s="614"/>
      <c r="Q145" s="614"/>
      <c r="R145" s="613"/>
      <c r="S145" s="615"/>
      <c r="T145" s="615"/>
      <c r="U145" s="615"/>
      <c r="V145" s="615"/>
      <c r="W145" s="615"/>
      <c r="X145" s="615"/>
      <c r="Y145" s="615"/>
      <c r="Z145" s="615"/>
      <c r="AA145" s="615"/>
      <c r="AB145" s="616"/>
    </row>
    <row r="146" spans="1:28" s="74" customFormat="1">
      <c r="A146" s="443"/>
      <c r="B146" s="444"/>
      <c r="C146" s="445"/>
      <c r="D146" s="446"/>
      <c r="E146" s="446"/>
      <c r="F146" s="446"/>
      <c r="G146" s="446"/>
      <c r="H146" s="446"/>
      <c r="I146" s="445"/>
      <c r="J146" s="445"/>
      <c r="K146" s="446"/>
      <c r="L146" s="446"/>
      <c r="M146" s="446"/>
      <c r="N146" s="445"/>
      <c r="O146" s="618"/>
      <c r="P146" s="446"/>
      <c r="Q146" s="446"/>
      <c r="R146" s="445"/>
      <c r="S146" s="604"/>
      <c r="T146" s="604"/>
      <c r="U146" s="604"/>
      <c r="V146" s="604"/>
      <c r="W146" s="604"/>
      <c r="X146" s="604"/>
      <c r="Y146" s="604"/>
      <c r="Z146" s="604"/>
      <c r="AA146" s="604"/>
      <c r="AB146" s="606"/>
    </row>
    <row r="147" spans="1:28" s="74" customFormat="1">
      <c r="A147" s="443"/>
      <c r="B147" s="444"/>
      <c r="C147" s="445"/>
      <c r="D147" s="446"/>
      <c r="E147" s="446"/>
      <c r="F147" s="446"/>
      <c r="G147" s="446"/>
      <c r="H147" s="446"/>
      <c r="I147" s="445"/>
      <c r="J147" s="445"/>
      <c r="K147" s="446"/>
      <c r="L147" s="446"/>
      <c r="M147" s="446"/>
      <c r="N147" s="445"/>
      <c r="O147" s="618"/>
      <c r="P147" s="446"/>
      <c r="Q147" s="446"/>
      <c r="R147" s="445"/>
      <c r="S147" s="604"/>
      <c r="T147" s="604"/>
      <c r="U147" s="604"/>
      <c r="V147" s="604"/>
      <c r="W147" s="604"/>
      <c r="X147" s="604"/>
      <c r="Y147" s="604"/>
      <c r="Z147" s="604"/>
      <c r="AA147" s="604"/>
      <c r="AB147" s="606"/>
    </row>
    <row r="148" spans="1:28" s="74" customFormat="1">
      <c r="A148" s="443"/>
      <c r="B148" s="447"/>
      <c r="C148" s="613"/>
      <c r="D148" s="614"/>
      <c r="E148" s="614"/>
      <c r="F148" s="614"/>
      <c r="G148" s="614"/>
      <c r="H148" s="614"/>
      <c r="I148" s="613"/>
      <c r="J148" s="613"/>
      <c r="K148" s="614"/>
      <c r="L148" s="614"/>
      <c r="M148" s="614"/>
      <c r="N148" s="613"/>
      <c r="O148" s="619"/>
      <c r="P148" s="614"/>
      <c r="Q148" s="614"/>
      <c r="R148" s="613"/>
      <c r="S148" s="615"/>
      <c r="T148" s="615"/>
      <c r="U148" s="615"/>
      <c r="V148" s="615"/>
      <c r="W148" s="615"/>
      <c r="X148" s="615"/>
      <c r="Y148" s="615"/>
      <c r="Z148" s="615"/>
      <c r="AA148" s="615"/>
      <c r="AB148" s="616"/>
    </row>
    <row r="149" spans="1:28" s="74" customFormat="1">
      <c r="A149" s="442"/>
      <c r="B149" s="440"/>
      <c r="C149" s="437"/>
      <c r="D149" s="441"/>
      <c r="E149" s="441"/>
      <c r="F149" s="441"/>
      <c r="G149" s="441"/>
      <c r="H149" s="441"/>
      <c r="I149" s="437"/>
      <c r="J149" s="437"/>
      <c r="K149" s="441"/>
      <c r="L149" s="441"/>
      <c r="M149" s="441"/>
      <c r="N149" s="437"/>
      <c r="O149" s="437"/>
      <c r="P149" s="441"/>
      <c r="Q149" s="441"/>
      <c r="R149" s="437"/>
      <c r="S149" s="603"/>
      <c r="T149" s="603"/>
      <c r="U149" s="603"/>
      <c r="V149" s="603"/>
      <c r="W149" s="603"/>
      <c r="X149" s="603"/>
      <c r="Y149" s="603"/>
      <c r="Z149" s="603"/>
      <c r="AA149" s="603"/>
      <c r="AB149" s="605"/>
    </row>
    <row r="150" spans="1:28" s="74" customFormat="1">
      <c r="A150" s="443"/>
      <c r="B150" s="444"/>
      <c r="C150" s="445"/>
      <c r="D150" s="446"/>
      <c r="E150" s="446"/>
      <c r="F150" s="446"/>
      <c r="G150" s="446"/>
      <c r="H150" s="446"/>
      <c r="I150" s="445"/>
      <c r="J150" s="445"/>
      <c r="K150" s="446"/>
      <c r="L150" s="446"/>
      <c r="M150" s="446"/>
      <c r="N150" s="445"/>
      <c r="O150" s="445"/>
      <c r="P150" s="446"/>
      <c r="Q150" s="446"/>
      <c r="R150" s="445"/>
      <c r="S150" s="604"/>
      <c r="T150" s="604"/>
      <c r="U150" s="604"/>
      <c r="V150" s="604"/>
      <c r="W150" s="604"/>
      <c r="X150" s="604"/>
      <c r="Y150" s="604"/>
      <c r="Z150" s="604"/>
      <c r="AA150" s="604"/>
      <c r="AB150" s="606"/>
    </row>
    <row r="151" spans="1:28" s="74" customFormat="1">
      <c r="A151" s="443"/>
      <c r="B151" s="447"/>
      <c r="C151" s="613"/>
      <c r="D151" s="614"/>
      <c r="E151" s="614"/>
      <c r="F151" s="614"/>
      <c r="G151" s="614"/>
      <c r="H151" s="614"/>
      <c r="I151" s="613"/>
      <c r="J151" s="613"/>
      <c r="K151" s="614"/>
      <c r="L151" s="614"/>
      <c r="M151" s="614"/>
      <c r="N151" s="613"/>
      <c r="O151" s="617"/>
      <c r="P151" s="614"/>
      <c r="Q151" s="614"/>
      <c r="R151" s="613"/>
      <c r="S151" s="615"/>
      <c r="T151" s="615"/>
      <c r="U151" s="615"/>
      <c r="V151" s="615"/>
      <c r="W151" s="615"/>
      <c r="X151" s="615"/>
      <c r="Y151" s="615"/>
      <c r="Z151" s="615"/>
      <c r="AA151" s="615"/>
      <c r="AB151" s="616"/>
    </row>
    <row r="152" spans="1:28" s="74" customFormat="1">
      <c r="A152" s="443"/>
      <c r="B152" s="444"/>
      <c r="C152" s="445"/>
      <c r="D152" s="446"/>
      <c r="E152" s="446"/>
      <c r="F152" s="446"/>
      <c r="G152" s="446"/>
      <c r="H152" s="446"/>
      <c r="I152" s="445"/>
      <c r="J152" s="445"/>
      <c r="K152" s="446"/>
      <c r="L152" s="446"/>
      <c r="M152" s="446"/>
      <c r="N152" s="445"/>
      <c r="O152" s="618"/>
      <c r="P152" s="446"/>
      <c r="Q152" s="446"/>
      <c r="R152" s="445"/>
      <c r="S152" s="604"/>
      <c r="T152" s="604"/>
      <c r="U152" s="604"/>
      <c r="V152" s="604"/>
      <c r="W152" s="604"/>
      <c r="X152" s="604"/>
      <c r="Y152" s="604"/>
      <c r="Z152" s="604"/>
      <c r="AA152" s="604"/>
      <c r="AB152" s="606"/>
    </row>
    <row r="153" spans="1:28" s="74" customFormat="1">
      <c r="A153" s="443"/>
      <c r="B153" s="444"/>
      <c r="C153" s="445"/>
      <c r="D153" s="446"/>
      <c r="E153" s="446"/>
      <c r="F153" s="446"/>
      <c r="G153" s="446"/>
      <c r="H153" s="446"/>
      <c r="I153" s="445"/>
      <c r="J153" s="445"/>
      <c r="K153" s="446"/>
      <c r="L153" s="446"/>
      <c r="M153" s="446"/>
      <c r="N153" s="445"/>
      <c r="O153" s="618"/>
      <c r="P153" s="446"/>
      <c r="Q153" s="446"/>
      <c r="R153" s="445"/>
      <c r="S153" s="604"/>
      <c r="T153" s="604"/>
      <c r="U153" s="604"/>
      <c r="V153" s="604"/>
      <c r="W153" s="604"/>
      <c r="X153" s="604"/>
      <c r="Y153" s="604"/>
      <c r="Z153" s="604"/>
      <c r="AA153" s="604"/>
      <c r="AB153" s="606"/>
    </row>
    <row r="154" spans="1:28" s="74" customFormat="1">
      <c r="A154" s="443"/>
      <c r="B154" s="447"/>
      <c r="C154" s="613"/>
      <c r="D154" s="614"/>
      <c r="E154" s="614"/>
      <c r="F154" s="614"/>
      <c r="G154" s="614"/>
      <c r="H154" s="614"/>
      <c r="I154" s="613"/>
      <c r="J154" s="613"/>
      <c r="K154" s="614"/>
      <c r="L154" s="614"/>
      <c r="M154" s="614"/>
      <c r="N154" s="613"/>
      <c r="O154" s="617"/>
      <c r="P154" s="614"/>
      <c r="Q154" s="614"/>
      <c r="R154" s="613"/>
      <c r="S154" s="615"/>
      <c r="T154" s="615"/>
      <c r="U154" s="615"/>
      <c r="V154" s="615"/>
      <c r="W154" s="615"/>
      <c r="X154" s="615"/>
      <c r="Y154" s="615"/>
      <c r="Z154" s="615"/>
      <c r="AA154" s="615"/>
      <c r="AB154" s="616"/>
    </row>
    <row r="155" spans="1:28" s="74" customFormat="1">
      <c r="A155" s="443"/>
      <c r="B155" s="444"/>
      <c r="C155" s="445"/>
      <c r="D155" s="446"/>
      <c r="E155" s="446"/>
      <c r="F155" s="446"/>
      <c r="G155" s="446"/>
      <c r="H155" s="446"/>
      <c r="I155" s="445"/>
      <c r="J155" s="445"/>
      <c r="K155" s="446"/>
      <c r="L155" s="446"/>
      <c r="M155" s="446"/>
      <c r="N155" s="445"/>
      <c r="O155" s="618"/>
      <c r="P155" s="446"/>
      <c r="Q155" s="446"/>
      <c r="R155" s="445"/>
      <c r="S155" s="604"/>
      <c r="T155" s="604"/>
      <c r="U155" s="604"/>
      <c r="V155" s="604"/>
      <c r="W155" s="604"/>
      <c r="X155" s="604"/>
      <c r="Y155" s="604"/>
      <c r="Z155" s="604"/>
      <c r="AA155" s="604"/>
      <c r="AB155" s="606"/>
    </row>
    <row r="156" spans="1:28" s="74" customFormat="1">
      <c r="A156" s="443"/>
      <c r="B156" s="444"/>
      <c r="C156" s="445"/>
      <c r="D156" s="446"/>
      <c r="E156" s="446"/>
      <c r="F156" s="446"/>
      <c r="G156" s="446"/>
      <c r="H156" s="446"/>
      <c r="I156" s="445"/>
      <c r="J156" s="445"/>
      <c r="K156" s="446"/>
      <c r="L156" s="446"/>
      <c r="M156" s="446"/>
      <c r="N156" s="445"/>
      <c r="O156" s="618"/>
      <c r="P156" s="446"/>
      <c r="Q156" s="446"/>
      <c r="R156" s="445"/>
      <c r="S156" s="604"/>
      <c r="T156" s="604"/>
      <c r="U156" s="604"/>
      <c r="V156" s="604"/>
      <c r="W156" s="604"/>
      <c r="X156" s="604"/>
      <c r="Y156" s="604"/>
      <c r="Z156" s="604"/>
      <c r="AA156" s="604"/>
      <c r="AB156" s="606"/>
    </row>
    <row r="157" spans="1:28" s="74" customFormat="1">
      <c r="A157" s="443"/>
      <c r="B157" s="447"/>
      <c r="C157" s="613"/>
      <c r="D157" s="614"/>
      <c r="E157" s="614"/>
      <c r="F157" s="614"/>
      <c r="G157" s="614"/>
      <c r="H157" s="614"/>
      <c r="I157" s="613"/>
      <c r="J157" s="613"/>
      <c r="K157" s="614"/>
      <c r="L157" s="614"/>
      <c r="M157" s="614"/>
      <c r="N157" s="613"/>
      <c r="O157" s="617"/>
      <c r="P157" s="614"/>
      <c r="Q157" s="614"/>
      <c r="R157" s="613"/>
      <c r="S157" s="615"/>
      <c r="T157" s="615"/>
      <c r="U157" s="615"/>
      <c r="V157" s="615"/>
      <c r="W157" s="615"/>
      <c r="X157" s="615"/>
      <c r="Y157" s="615"/>
      <c r="Z157" s="615"/>
      <c r="AA157" s="615"/>
      <c r="AB157" s="616"/>
    </row>
    <row r="158" spans="1:28" s="74" customFormat="1">
      <c r="A158" s="443"/>
      <c r="B158" s="444"/>
      <c r="C158" s="445"/>
      <c r="D158" s="446"/>
      <c r="E158" s="446"/>
      <c r="F158" s="446"/>
      <c r="G158" s="446"/>
      <c r="H158" s="446"/>
      <c r="I158" s="445"/>
      <c r="J158" s="445"/>
      <c r="K158" s="446"/>
      <c r="L158" s="446"/>
      <c r="M158" s="446"/>
      <c r="N158" s="445"/>
      <c r="O158" s="618"/>
      <c r="P158" s="446"/>
      <c r="Q158" s="446"/>
      <c r="R158" s="445"/>
      <c r="S158" s="604"/>
      <c r="T158" s="604"/>
      <c r="U158" s="604"/>
      <c r="V158" s="604"/>
      <c r="W158" s="604"/>
      <c r="X158" s="604"/>
      <c r="Y158" s="604"/>
      <c r="Z158" s="604"/>
      <c r="AA158" s="604"/>
      <c r="AB158" s="606"/>
    </row>
    <row r="159" spans="1:28" s="74" customFormat="1">
      <c r="A159" s="443"/>
      <c r="B159" s="444"/>
      <c r="C159" s="445"/>
      <c r="D159" s="446"/>
      <c r="E159" s="446"/>
      <c r="F159" s="446"/>
      <c r="G159" s="446"/>
      <c r="H159" s="446"/>
      <c r="I159" s="445"/>
      <c r="J159" s="445"/>
      <c r="K159" s="446"/>
      <c r="L159" s="446"/>
      <c r="M159" s="446"/>
      <c r="N159" s="445"/>
      <c r="O159" s="618"/>
      <c r="P159" s="446"/>
      <c r="Q159" s="446"/>
      <c r="R159" s="445"/>
      <c r="S159" s="604"/>
      <c r="T159" s="604"/>
      <c r="U159" s="604"/>
      <c r="V159" s="604"/>
      <c r="W159" s="604"/>
      <c r="X159" s="604"/>
      <c r="Y159" s="604"/>
      <c r="Z159" s="604"/>
      <c r="AA159" s="604"/>
      <c r="AB159" s="606"/>
    </row>
    <row r="160" spans="1:28" s="74" customFormat="1">
      <c r="A160" s="443"/>
      <c r="B160" s="447"/>
      <c r="C160" s="613"/>
      <c r="D160" s="614"/>
      <c r="E160" s="614"/>
      <c r="F160" s="614"/>
      <c r="G160" s="614"/>
      <c r="H160" s="614"/>
      <c r="I160" s="613"/>
      <c r="J160" s="613"/>
      <c r="K160" s="614"/>
      <c r="L160" s="614"/>
      <c r="M160" s="614"/>
      <c r="N160" s="613"/>
      <c r="O160" s="619"/>
      <c r="P160" s="614"/>
      <c r="Q160" s="614"/>
      <c r="R160" s="613"/>
      <c r="S160" s="615"/>
      <c r="T160" s="615"/>
      <c r="U160" s="615"/>
      <c r="V160" s="615"/>
      <c r="W160" s="615"/>
      <c r="X160" s="615"/>
      <c r="Y160" s="615"/>
      <c r="Z160" s="615"/>
      <c r="AA160" s="615"/>
      <c r="AB160" s="616"/>
    </row>
    <row r="161" spans="1:32" s="74" customFormat="1">
      <c r="A161" s="442"/>
      <c r="B161" s="440"/>
      <c r="C161" s="437"/>
      <c r="D161" s="441"/>
      <c r="E161" s="441"/>
      <c r="F161" s="441"/>
      <c r="G161" s="441"/>
      <c r="H161" s="441"/>
      <c r="I161" s="437"/>
      <c r="J161" s="437"/>
      <c r="K161" s="441"/>
      <c r="L161" s="441"/>
      <c r="M161" s="441"/>
      <c r="N161" s="437"/>
      <c r="O161" s="437"/>
      <c r="P161" s="441"/>
      <c r="Q161" s="441"/>
      <c r="R161" s="437"/>
      <c r="S161" s="603"/>
      <c r="T161" s="603"/>
      <c r="U161" s="603"/>
      <c r="V161" s="603"/>
      <c r="W161" s="603"/>
      <c r="X161" s="603"/>
      <c r="Y161" s="603"/>
      <c r="Z161" s="603"/>
      <c r="AA161" s="603"/>
      <c r="AB161" s="605"/>
    </row>
    <row r="162" spans="1:32" s="74" customFormat="1">
      <c r="A162" s="443"/>
      <c r="B162" s="444"/>
      <c r="C162" s="445"/>
      <c r="D162" s="446"/>
      <c r="E162" s="446"/>
      <c r="F162" s="446"/>
      <c r="G162" s="446"/>
      <c r="H162" s="446"/>
      <c r="I162" s="445"/>
      <c r="J162" s="445"/>
      <c r="K162" s="446"/>
      <c r="L162" s="446"/>
      <c r="M162" s="446"/>
      <c r="N162" s="445"/>
      <c r="O162" s="445"/>
      <c r="P162" s="446"/>
      <c r="Q162" s="446"/>
      <c r="R162" s="445"/>
      <c r="S162" s="604"/>
      <c r="T162" s="604"/>
      <c r="U162" s="604"/>
      <c r="V162" s="604"/>
      <c r="W162" s="604"/>
      <c r="X162" s="604"/>
      <c r="Y162" s="604"/>
      <c r="Z162" s="604"/>
      <c r="AA162" s="604"/>
      <c r="AB162" s="606"/>
    </row>
    <row r="163" spans="1:32" s="74" customFormat="1">
      <c r="A163" s="443"/>
      <c r="B163" s="447"/>
      <c r="C163" s="613"/>
      <c r="D163" s="614"/>
      <c r="E163" s="614"/>
      <c r="F163" s="614"/>
      <c r="G163" s="614"/>
      <c r="H163" s="614"/>
      <c r="I163" s="613"/>
      <c r="J163" s="613"/>
      <c r="K163" s="614"/>
      <c r="L163" s="614"/>
      <c r="M163" s="614"/>
      <c r="N163" s="613"/>
      <c r="O163" s="617"/>
      <c r="P163" s="614"/>
      <c r="Q163" s="614"/>
      <c r="R163" s="613"/>
      <c r="S163" s="615"/>
      <c r="T163" s="615"/>
      <c r="U163" s="615"/>
      <c r="V163" s="615"/>
      <c r="W163" s="615"/>
      <c r="X163" s="615"/>
      <c r="Y163" s="615"/>
      <c r="Z163" s="615"/>
      <c r="AA163" s="615"/>
      <c r="AB163" s="616"/>
    </row>
    <row r="164" spans="1:32" s="74" customFormat="1">
      <c r="A164" s="443"/>
      <c r="B164" s="444"/>
      <c r="C164" s="445"/>
      <c r="D164" s="446"/>
      <c r="E164" s="446"/>
      <c r="F164" s="446"/>
      <c r="G164" s="446"/>
      <c r="H164" s="446"/>
      <c r="I164" s="445"/>
      <c r="J164" s="445"/>
      <c r="K164" s="446"/>
      <c r="L164" s="446"/>
      <c r="M164" s="446"/>
      <c r="N164" s="445"/>
      <c r="O164" s="618"/>
      <c r="P164" s="446"/>
      <c r="Q164" s="446"/>
      <c r="R164" s="445"/>
      <c r="S164" s="604"/>
      <c r="T164" s="604"/>
      <c r="U164" s="604"/>
      <c r="V164" s="604"/>
      <c r="W164" s="604"/>
      <c r="X164" s="604"/>
      <c r="Y164" s="604"/>
      <c r="Z164" s="604"/>
      <c r="AA164" s="604"/>
      <c r="AB164" s="606"/>
    </row>
    <row r="165" spans="1:32" s="74" customFormat="1">
      <c r="A165" s="443"/>
      <c r="B165" s="444"/>
      <c r="C165" s="445"/>
      <c r="D165" s="446"/>
      <c r="E165" s="446"/>
      <c r="F165" s="446"/>
      <c r="G165" s="446"/>
      <c r="H165" s="446"/>
      <c r="I165" s="445"/>
      <c r="J165" s="445"/>
      <c r="K165" s="446"/>
      <c r="L165" s="446"/>
      <c r="M165" s="446"/>
      <c r="N165" s="445"/>
      <c r="O165" s="618"/>
      <c r="P165" s="446"/>
      <c r="Q165" s="446"/>
      <c r="R165" s="445"/>
      <c r="S165" s="604"/>
      <c r="T165" s="604"/>
      <c r="U165" s="604"/>
      <c r="V165" s="604"/>
      <c r="W165" s="604"/>
      <c r="X165" s="604"/>
      <c r="Y165" s="604"/>
      <c r="Z165" s="604"/>
      <c r="AA165" s="604"/>
      <c r="AB165" s="606"/>
    </row>
    <row r="166" spans="1:32" s="74" customFormat="1">
      <c r="A166" s="443"/>
      <c r="B166" s="447"/>
      <c r="C166" s="613"/>
      <c r="D166" s="614"/>
      <c r="E166" s="614"/>
      <c r="F166" s="614"/>
      <c r="G166" s="614"/>
      <c r="H166" s="614"/>
      <c r="I166" s="613"/>
      <c r="J166" s="613"/>
      <c r="K166" s="614"/>
      <c r="L166" s="614"/>
      <c r="M166" s="614"/>
      <c r="N166" s="613"/>
      <c r="O166" s="617"/>
      <c r="P166" s="614"/>
      <c r="Q166" s="614"/>
      <c r="R166" s="613"/>
      <c r="S166" s="615"/>
      <c r="T166" s="615"/>
      <c r="U166" s="615"/>
      <c r="V166" s="615"/>
      <c r="W166" s="615"/>
      <c r="X166" s="615"/>
      <c r="Y166" s="615"/>
      <c r="Z166" s="615"/>
      <c r="AA166" s="615"/>
      <c r="AB166" s="616"/>
      <c r="AC166" s="368"/>
      <c r="AD166" s="368"/>
      <c r="AE166" s="368"/>
      <c r="AF166" s="368"/>
    </row>
    <row r="167" spans="1:32" s="74" customFormat="1">
      <c r="A167" s="443"/>
      <c r="B167" s="444"/>
      <c r="C167" s="445"/>
      <c r="D167" s="446"/>
      <c r="E167" s="446"/>
      <c r="F167" s="446"/>
      <c r="G167" s="446"/>
      <c r="H167" s="446"/>
      <c r="I167" s="445"/>
      <c r="J167" s="445"/>
      <c r="K167" s="446"/>
      <c r="L167" s="446"/>
      <c r="M167" s="446"/>
      <c r="N167" s="445"/>
      <c r="O167" s="618"/>
      <c r="P167" s="446"/>
      <c r="Q167" s="446"/>
      <c r="R167" s="445"/>
      <c r="S167" s="604"/>
      <c r="T167" s="604"/>
      <c r="U167" s="604"/>
      <c r="V167" s="604"/>
      <c r="W167" s="604"/>
      <c r="X167" s="604"/>
      <c r="Y167" s="604"/>
      <c r="Z167" s="604"/>
      <c r="AA167" s="604"/>
      <c r="AB167" s="606"/>
    </row>
    <row r="168" spans="1:32" s="74" customFormat="1">
      <c r="A168" s="443"/>
      <c r="B168" s="444"/>
      <c r="C168" s="445"/>
      <c r="D168" s="446"/>
      <c r="E168" s="446"/>
      <c r="F168" s="446"/>
      <c r="G168" s="446"/>
      <c r="H168" s="446"/>
      <c r="I168" s="445"/>
      <c r="J168" s="445"/>
      <c r="K168" s="446"/>
      <c r="L168" s="446"/>
      <c r="M168" s="446"/>
      <c r="N168" s="445"/>
      <c r="O168" s="618"/>
      <c r="P168" s="446"/>
      <c r="Q168" s="446"/>
      <c r="R168" s="445"/>
      <c r="S168" s="604"/>
      <c r="T168" s="604"/>
      <c r="U168" s="604"/>
      <c r="V168" s="604"/>
      <c r="W168" s="604"/>
      <c r="X168" s="604"/>
      <c r="Y168" s="604"/>
      <c r="Z168" s="604"/>
      <c r="AA168" s="604"/>
      <c r="AB168" s="606"/>
    </row>
    <row r="169" spans="1:32" s="74" customFormat="1">
      <c r="A169" s="443"/>
      <c r="B169" s="447"/>
      <c r="C169" s="613"/>
      <c r="D169" s="614"/>
      <c r="E169" s="614"/>
      <c r="F169" s="614"/>
      <c r="G169" s="614"/>
      <c r="H169" s="614"/>
      <c r="I169" s="613"/>
      <c r="J169" s="613"/>
      <c r="K169" s="614"/>
      <c r="L169" s="614"/>
      <c r="M169" s="614"/>
      <c r="N169" s="613"/>
      <c r="O169" s="617"/>
      <c r="P169" s="614"/>
      <c r="Q169" s="614"/>
      <c r="R169" s="613"/>
      <c r="S169" s="615"/>
      <c r="T169" s="615"/>
      <c r="U169" s="615"/>
      <c r="V169" s="615"/>
      <c r="W169" s="615"/>
      <c r="X169" s="615"/>
      <c r="Y169" s="615"/>
      <c r="Z169" s="615"/>
      <c r="AA169" s="615"/>
      <c r="AB169" s="616"/>
      <c r="AC169" s="368"/>
      <c r="AD169" s="368"/>
      <c r="AE169" s="368"/>
      <c r="AF169" s="368"/>
    </row>
    <row r="170" spans="1:32" s="74" customFormat="1">
      <c r="A170" s="443"/>
      <c r="B170" s="444"/>
      <c r="C170" s="445"/>
      <c r="D170" s="446"/>
      <c r="E170" s="446"/>
      <c r="F170" s="446"/>
      <c r="G170" s="446"/>
      <c r="H170" s="446"/>
      <c r="I170" s="445"/>
      <c r="J170" s="445"/>
      <c r="K170" s="446"/>
      <c r="L170" s="446"/>
      <c r="M170" s="446"/>
      <c r="N170" s="445"/>
      <c r="O170" s="618"/>
      <c r="P170" s="446"/>
      <c r="Q170" s="446"/>
      <c r="R170" s="445"/>
      <c r="S170" s="604"/>
      <c r="T170" s="604"/>
      <c r="U170" s="604"/>
      <c r="V170" s="604"/>
      <c r="W170" s="604"/>
      <c r="X170" s="604"/>
      <c r="Y170" s="604"/>
      <c r="Z170" s="604"/>
      <c r="AA170" s="604"/>
      <c r="AB170" s="606"/>
    </row>
    <row r="171" spans="1:32" s="74" customFormat="1">
      <c r="A171" s="443"/>
      <c r="B171" s="444"/>
      <c r="C171" s="445"/>
      <c r="D171" s="446"/>
      <c r="E171" s="446"/>
      <c r="F171" s="446"/>
      <c r="G171" s="446"/>
      <c r="H171" s="446"/>
      <c r="I171" s="445"/>
      <c r="J171" s="445"/>
      <c r="K171" s="446"/>
      <c r="L171" s="446"/>
      <c r="M171" s="446"/>
      <c r="N171" s="445"/>
      <c r="O171" s="618"/>
      <c r="P171" s="446"/>
      <c r="Q171" s="446"/>
      <c r="R171" s="445"/>
      <c r="S171" s="604"/>
      <c r="T171" s="604"/>
      <c r="U171" s="604"/>
      <c r="V171" s="604"/>
      <c r="W171" s="604"/>
      <c r="X171" s="604"/>
      <c r="Y171" s="604"/>
      <c r="Z171" s="604"/>
      <c r="AA171" s="604"/>
      <c r="AB171" s="606"/>
    </row>
    <row r="172" spans="1:32" s="74" customFormat="1">
      <c r="A172" s="443"/>
      <c r="B172" s="447"/>
      <c r="C172" s="613"/>
      <c r="D172" s="614"/>
      <c r="E172" s="614"/>
      <c r="F172" s="614"/>
      <c r="G172" s="614"/>
      <c r="H172" s="614"/>
      <c r="I172" s="613"/>
      <c r="J172" s="613"/>
      <c r="K172" s="614"/>
      <c r="L172" s="614"/>
      <c r="M172" s="614"/>
      <c r="N172" s="613"/>
      <c r="O172" s="619"/>
      <c r="P172" s="614"/>
      <c r="Q172" s="614"/>
      <c r="R172" s="613"/>
      <c r="S172" s="615"/>
      <c r="T172" s="615"/>
      <c r="U172" s="615"/>
      <c r="V172" s="615"/>
      <c r="W172" s="615"/>
      <c r="X172" s="615"/>
      <c r="Y172" s="615"/>
      <c r="Z172" s="615"/>
      <c r="AA172" s="615"/>
      <c r="AB172" s="616"/>
    </row>
    <row r="173" spans="1:32" s="74" customFormat="1">
      <c r="A173" s="442"/>
      <c r="B173" s="440"/>
      <c r="C173" s="437"/>
      <c r="D173" s="441"/>
      <c r="E173" s="441"/>
      <c r="F173" s="441"/>
      <c r="G173" s="441"/>
      <c r="H173" s="441"/>
      <c r="I173" s="437"/>
      <c r="J173" s="437"/>
      <c r="K173" s="441"/>
      <c r="L173" s="441"/>
      <c r="M173" s="441"/>
      <c r="N173" s="437"/>
      <c r="O173" s="437"/>
      <c r="P173" s="441"/>
      <c r="Q173" s="441"/>
      <c r="R173" s="437"/>
      <c r="S173" s="603"/>
      <c r="T173" s="603"/>
      <c r="U173" s="603"/>
      <c r="V173" s="603"/>
      <c r="W173" s="603"/>
      <c r="X173" s="603"/>
      <c r="Y173" s="603"/>
      <c r="Z173" s="603"/>
      <c r="AA173" s="603"/>
      <c r="AB173" s="605"/>
    </row>
    <row r="174" spans="1:32" s="74" customFormat="1">
      <c r="A174" s="443"/>
      <c r="B174" s="444"/>
      <c r="C174" s="445"/>
      <c r="D174" s="446"/>
      <c r="E174" s="446"/>
      <c r="F174" s="446"/>
      <c r="G174" s="446"/>
      <c r="H174" s="446"/>
      <c r="I174" s="445"/>
      <c r="J174" s="445"/>
      <c r="K174" s="446"/>
      <c r="L174" s="446"/>
      <c r="M174" s="446"/>
      <c r="N174" s="445"/>
      <c r="O174" s="445"/>
      <c r="P174" s="446"/>
      <c r="Q174" s="446"/>
      <c r="R174" s="445"/>
      <c r="S174" s="604"/>
      <c r="T174" s="604"/>
      <c r="U174" s="604"/>
      <c r="V174" s="604"/>
      <c r="W174" s="604"/>
      <c r="X174" s="604"/>
      <c r="Y174" s="604"/>
      <c r="Z174" s="604"/>
      <c r="AA174" s="604"/>
      <c r="AB174" s="606"/>
    </row>
    <row r="175" spans="1:32" s="74" customFormat="1">
      <c r="A175" s="443"/>
      <c r="B175" s="447"/>
      <c r="C175" s="613"/>
      <c r="D175" s="614"/>
      <c r="E175" s="614"/>
      <c r="F175" s="614"/>
      <c r="G175" s="614"/>
      <c r="H175" s="614"/>
      <c r="I175" s="613"/>
      <c r="J175" s="613"/>
      <c r="K175" s="614"/>
      <c r="L175" s="614"/>
      <c r="M175" s="625"/>
      <c r="N175" s="613"/>
      <c r="O175" s="617"/>
      <c r="P175" s="614"/>
      <c r="Q175" s="614"/>
      <c r="R175" s="613"/>
      <c r="S175" s="615"/>
      <c r="T175" s="615"/>
      <c r="U175" s="615"/>
      <c r="V175" s="615"/>
      <c r="W175" s="615"/>
      <c r="X175" s="615"/>
      <c r="Y175" s="615"/>
      <c r="Z175" s="615"/>
      <c r="AA175" s="615"/>
      <c r="AB175" s="616"/>
    </row>
    <row r="176" spans="1:32" s="74" customFormat="1">
      <c r="A176" s="443"/>
      <c r="B176" s="444"/>
      <c r="C176" s="445"/>
      <c r="D176" s="446"/>
      <c r="E176" s="446"/>
      <c r="F176" s="446"/>
      <c r="G176" s="446"/>
      <c r="H176" s="446"/>
      <c r="I176" s="445"/>
      <c r="J176" s="445"/>
      <c r="K176" s="446"/>
      <c r="L176" s="446"/>
      <c r="M176" s="446"/>
      <c r="N176" s="445"/>
      <c r="O176" s="618"/>
      <c r="P176" s="446"/>
      <c r="Q176" s="446"/>
      <c r="R176" s="445"/>
      <c r="S176" s="604"/>
      <c r="T176" s="604"/>
      <c r="U176" s="604"/>
      <c r="V176" s="604"/>
      <c r="W176" s="604"/>
      <c r="X176" s="604"/>
      <c r="Y176" s="604"/>
      <c r="Z176" s="604"/>
      <c r="AA176" s="604"/>
      <c r="AB176" s="606"/>
    </row>
    <row r="177" spans="1:28" s="74" customFormat="1">
      <c r="A177" s="443"/>
      <c r="B177" s="444"/>
      <c r="C177" s="445"/>
      <c r="D177" s="446"/>
      <c r="E177" s="446"/>
      <c r="F177" s="446"/>
      <c r="G177" s="446"/>
      <c r="H177" s="446"/>
      <c r="I177" s="445"/>
      <c r="J177" s="445"/>
      <c r="K177" s="446"/>
      <c r="L177" s="446"/>
      <c r="M177" s="446"/>
      <c r="N177" s="445"/>
      <c r="O177" s="618"/>
      <c r="P177" s="446"/>
      <c r="Q177" s="446"/>
      <c r="R177" s="445"/>
      <c r="S177" s="604"/>
      <c r="T177" s="604"/>
      <c r="U177" s="604"/>
      <c r="V177" s="604"/>
      <c r="W177" s="604"/>
      <c r="X177" s="604"/>
      <c r="Y177" s="604"/>
      <c r="Z177" s="604"/>
      <c r="AA177" s="604"/>
      <c r="AB177" s="606"/>
    </row>
    <row r="178" spans="1:28" s="74" customFormat="1">
      <c r="A178" s="443"/>
      <c r="B178" s="447"/>
      <c r="C178" s="613"/>
      <c r="D178" s="614"/>
      <c r="E178" s="614"/>
      <c r="F178" s="614"/>
      <c r="G178" s="614"/>
      <c r="H178" s="614"/>
      <c r="I178" s="613"/>
      <c r="J178" s="613"/>
      <c r="K178" s="614"/>
      <c r="L178" s="614"/>
      <c r="M178" s="614"/>
      <c r="N178" s="613"/>
      <c r="O178" s="617"/>
      <c r="P178" s="614"/>
      <c r="Q178" s="614"/>
      <c r="R178" s="613"/>
      <c r="S178" s="615"/>
      <c r="T178" s="615"/>
      <c r="U178" s="615"/>
      <c r="V178" s="615"/>
      <c r="W178" s="615"/>
      <c r="X178" s="615"/>
      <c r="Y178" s="615"/>
      <c r="Z178" s="615"/>
      <c r="AA178" s="615"/>
      <c r="AB178" s="616"/>
    </row>
    <row r="179" spans="1:28" s="74" customFormat="1">
      <c r="A179" s="443"/>
      <c r="B179" s="444"/>
      <c r="C179" s="445"/>
      <c r="D179" s="446"/>
      <c r="E179" s="446"/>
      <c r="F179" s="446"/>
      <c r="G179" s="446"/>
      <c r="H179" s="446"/>
      <c r="I179" s="445"/>
      <c r="J179" s="445"/>
      <c r="K179" s="446"/>
      <c r="L179" s="446"/>
      <c r="M179" s="446"/>
      <c r="N179" s="445"/>
      <c r="O179" s="618"/>
      <c r="P179" s="446"/>
      <c r="Q179" s="446"/>
      <c r="R179" s="445"/>
      <c r="S179" s="604"/>
      <c r="T179" s="604"/>
      <c r="U179" s="604"/>
      <c r="V179" s="604"/>
      <c r="W179" s="604"/>
      <c r="X179" s="604"/>
      <c r="Y179" s="604"/>
      <c r="Z179" s="604"/>
      <c r="AA179" s="604"/>
      <c r="AB179" s="606"/>
    </row>
    <row r="180" spans="1:28" s="74" customFormat="1">
      <c r="A180" s="443"/>
      <c r="B180" s="444"/>
      <c r="C180" s="445"/>
      <c r="D180" s="446"/>
      <c r="E180" s="446"/>
      <c r="F180" s="446"/>
      <c r="G180" s="446"/>
      <c r="H180" s="446"/>
      <c r="I180" s="445"/>
      <c r="J180" s="445"/>
      <c r="K180" s="446"/>
      <c r="L180" s="446"/>
      <c r="M180" s="446"/>
      <c r="N180" s="445"/>
      <c r="O180" s="618"/>
      <c r="P180" s="446"/>
      <c r="Q180" s="446"/>
      <c r="R180" s="445"/>
      <c r="S180" s="604"/>
      <c r="T180" s="604"/>
      <c r="U180" s="604"/>
      <c r="V180" s="604"/>
      <c r="W180" s="604"/>
      <c r="X180" s="604"/>
      <c r="Y180" s="604"/>
      <c r="Z180" s="604"/>
      <c r="AA180" s="604"/>
      <c r="AB180" s="606"/>
    </row>
    <row r="181" spans="1:28" s="74" customFormat="1">
      <c r="A181" s="443"/>
      <c r="B181" s="447"/>
      <c r="C181" s="613"/>
      <c r="D181" s="625"/>
      <c r="E181" s="614"/>
      <c r="F181" s="614"/>
      <c r="G181" s="614"/>
      <c r="H181" s="614"/>
      <c r="I181" s="613"/>
      <c r="J181" s="613"/>
      <c r="K181" s="614"/>
      <c r="L181" s="614"/>
      <c r="M181" s="614"/>
      <c r="N181" s="613"/>
      <c r="O181" s="617"/>
      <c r="P181" s="614"/>
      <c r="Q181" s="614"/>
      <c r="R181" s="613"/>
      <c r="S181" s="615"/>
      <c r="T181" s="615"/>
      <c r="U181" s="615"/>
      <c r="V181" s="615"/>
      <c r="W181" s="615"/>
      <c r="X181" s="615"/>
      <c r="Y181" s="615"/>
      <c r="Z181" s="615"/>
      <c r="AA181" s="615"/>
      <c r="AB181" s="616"/>
    </row>
    <row r="182" spans="1:28" s="74" customFormat="1">
      <c r="A182" s="443"/>
      <c r="B182" s="444"/>
      <c r="C182" s="445"/>
      <c r="D182" s="446"/>
      <c r="E182" s="446"/>
      <c r="F182" s="446"/>
      <c r="G182" s="446"/>
      <c r="H182" s="446"/>
      <c r="I182" s="445"/>
      <c r="J182" s="445"/>
      <c r="K182" s="446"/>
      <c r="L182" s="446"/>
      <c r="M182" s="446"/>
      <c r="N182" s="445"/>
      <c r="O182" s="618"/>
      <c r="P182" s="446"/>
      <c r="Q182" s="446"/>
      <c r="R182" s="445"/>
      <c r="S182" s="604"/>
      <c r="T182" s="604"/>
      <c r="U182" s="604"/>
      <c r="V182" s="604"/>
      <c r="W182" s="604"/>
      <c r="X182" s="604"/>
      <c r="Y182" s="604"/>
      <c r="Z182" s="604"/>
      <c r="AA182" s="604"/>
      <c r="AB182" s="606"/>
    </row>
    <row r="183" spans="1:28" s="74" customFormat="1">
      <c r="A183" s="443"/>
      <c r="B183" s="444"/>
      <c r="C183" s="445"/>
      <c r="D183" s="446"/>
      <c r="E183" s="446"/>
      <c r="F183" s="446"/>
      <c r="G183" s="446"/>
      <c r="H183" s="446"/>
      <c r="I183" s="445"/>
      <c r="J183" s="445"/>
      <c r="K183" s="446"/>
      <c r="L183" s="446"/>
      <c r="M183" s="446"/>
      <c r="N183" s="445"/>
      <c r="O183" s="618"/>
      <c r="P183" s="446"/>
      <c r="Q183" s="446"/>
      <c r="R183" s="445"/>
      <c r="S183" s="604"/>
      <c r="T183" s="604"/>
      <c r="U183" s="604"/>
      <c r="V183" s="604"/>
      <c r="W183" s="604"/>
      <c r="X183" s="604"/>
      <c r="Y183" s="604"/>
      <c r="Z183" s="604"/>
      <c r="AA183" s="604"/>
      <c r="AB183" s="606"/>
    </row>
    <row r="184" spans="1:28" s="74" customFormat="1">
      <c r="A184" s="443"/>
      <c r="B184" s="447"/>
      <c r="C184" s="613"/>
      <c r="D184" s="614"/>
      <c r="E184" s="614"/>
      <c r="F184" s="614"/>
      <c r="G184" s="614"/>
      <c r="H184" s="614"/>
      <c r="I184" s="613"/>
      <c r="J184" s="613"/>
      <c r="K184" s="614"/>
      <c r="L184" s="614"/>
      <c r="M184" s="614"/>
      <c r="N184" s="613"/>
      <c r="O184" s="619"/>
      <c r="P184" s="614"/>
      <c r="Q184" s="614"/>
      <c r="R184" s="613"/>
      <c r="S184" s="615"/>
      <c r="T184" s="615"/>
      <c r="U184" s="615"/>
      <c r="V184" s="615"/>
      <c r="W184" s="615"/>
      <c r="X184" s="615"/>
      <c r="Y184" s="615"/>
      <c r="Z184" s="615"/>
      <c r="AA184" s="615"/>
      <c r="AB184" s="616"/>
    </row>
    <row r="185" spans="1:28" s="74" customFormat="1">
      <c r="A185" s="442"/>
      <c r="B185" s="440"/>
      <c r="C185" s="437"/>
      <c r="D185" s="441"/>
      <c r="E185" s="441"/>
      <c r="F185" s="441"/>
      <c r="G185" s="441"/>
      <c r="H185" s="441"/>
      <c r="I185" s="437"/>
      <c r="J185" s="437"/>
      <c r="K185" s="441"/>
      <c r="L185" s="441"/>
      <c r="M185" s="441"/>
      <c r="N185" s="437"/>
      <c r="O185" s="437"/>
      <c r="P185" s="441"/>
      <c r="Q185" s="441"/>
      <c r="R185" s="437"/>
      <c r="S185" s="603"/>
      <c r="T185" s="603"/>
      <c r="U185" s="603"/>
      <c r="V185" s="603"/>
      <c r="W185" s="603"/>
      <c r="X185" s="603"/>
      <c r="Y185" s="603"/>
      <c r="Z185" s="603"/>
      <c r="AA185" s="603"/>
      <c r="AB185" s="605"/>
    </row>
    <row r="186" spans="1:28" s="74" customFormat="1">
      <c r="A186" s="443"/>
      <c r="B186" s="444"/>
      <c r="C186" s="445"/>
      <c r="D186" s="446"/>
      <c r="E186" s="446"/>
      <c r="F186" s="446"/>
      <c r="G186" s="446"/>
      <c r="H186" s="446"/>
      <c r="I186" s="445"/>
      <c r="J186" s="445"/>
      <c r="K186" s="446"/>
      <c r="L186" s="446"/>
      <c r="M186" s="446"/>
      <c r="N186" s="445"/>
      <c r="O186" s="445"/>
      <c r="P186" s="446"/>
      <c r="Q186" s="446"/>
      <c r="R186" s="445"/>
      <c r="S186" s="604"/>
      <c r="T186" s="604"/>
      <c r="U186" s="604"/>
      <c r="V186" s="604"/>
      <c r="W186" s="604"/>
      <c r="X186" s="604"/>
      <c r="Y186" s="604"/>
      <c r="Z186" s="604"/>
      <c r="AA186" s="604"/>
      <c r="AB186" s="606"/>
    </row>
    <row r="187" spans="1:28" s="74" customFormat="1">
      <c r="A187" s="443"/>
      <c r="B187" s="447"/>
      <c r="C187" s="613"/>
      <c r="D187" s="614"/>
      <c r="E187" s="614"/>
      <c r="F187" s="614"/>
      <c r="G187" s="614"/>
      <c r="H187" s="614"/>
      <c r="I187" s="613"/>
      <c r="J187" s="613"/>
      <c r="K187" s="614"/>
      <c r="L187" s="614"/>
      <c r="M187" s="614"/>
      <c r="N187" s="613"/>
      <c r="O187" s="617"/>
      <c r="P187" s="614"/>
      <c r="Q187" s="614"/>
      <c r="R187" s="613"/>
      <c r="S187" s="615"/>
      <c r="T187" s="615"/>
      <c r="U187" s="615"/>
      <c r="V187" s="615"/>
      <c r="W187" s="615"/>
      <c r="X187" s="615"/>
      <c r="Y187" s="615"/>
      <c r="Z187" s="615"/>
      <c r="AA187" s="615"/>
      <c r="AB187" s="616"/>
    </row>
    <row r="188" spans="1:28" s="74" customFormat="1">
      <c r="A188" s="443"/>
      <c r="B188" s="444"/>
      <c r="C188" s="445"/>
      <c r="D188" s="446"/>
      <c r="E188" s="446"/>
      <c r="F188" s="446"/>
      <c r="G188" s="446"/>
      <c r="H188" s="446"/>
      <c r="I188" s="445"/>
      <c r="J188" s="445"/>
      <c r="K188" s="446"/>
      <c r="L188" s="446"/>
      <c r="M188" s="446"/>
      <c r="N188" s="445"/>
      <c r="O188" s="618"/>
      <c r="P188" s="446"/>
      <c r="Q188" s="446"/>
      <c r="R188" s="445"/>
      <c r="S188" s="604"/>
      <c r="T188" s="604"/>
      <c r="U188" s="604"/>
      <c r="V188" s="604"/>
      <c r="W188" s="604"/>
      <c r="X188" s="604"/>
      <c r="Y188" s="604"/>
      <c r="Z188" s="604"/>
      <c r="AA188" s="604"/>
      <c r="AB188" s="606"/>
    </row>
    <row r="189" spans="1:28" s="74" customFormat="1">
      <c r="A189" s="443"/>
      <c r="B189" s="444"/>
      <c r="C189" s="445"/>
      <c r="D189" s="446"/>
      <c r="E189" s="446"/>
      <c r="F189" s="446"/>
      <c r="G189" s="446"/>
      <c r="H189" s="446"/>
      <c r="I189" s="445"/>
      <c r="J189" s="445"/>
      <c r="K189" s="446"/>
      <c r="L189" s="446"/>
      <c r="M189" s="446"/>
      <c r="N189" s="445"/>
      <c r="O189" s="618"/>
      <c r="P189" s="446"/>
      <c r="Q189" s="446"/>
      <c r="R189" s="445"/>
      <c r="S189" s="604"/>
      <c r="T189" s="604"/>
      <c r="U189" s="604"/>
      <c r="V189" s="604"/>
      <c r="W189" s="604"/>
      <c r="X189" s="604"/>
      <c r="Y189" s="604"/>
      <c r="Z189" s="604"/>
      <c r="AA189" s="604"/>
      <c r="AB189" s="606"/>
    </row>
    <row r="190" spans="1:28" s="74" customFormat="1">
      <c r="A190" s="443"/>
      <c r="B190" s="447"/>
      <c r="C190" s="613"/>
      <c r="D190" s="614"/>
      <c r="E190" s="614"/>
      <c r="F190" s="614"/>
      <c r="G190" s="614"/>
      <c r="H190" s="614"/>
      <c r="I190" s="613"/>
      <c r="J190" s="613"/>
      <c r="K190" s="614"/>
      <c r="L190" s="614"/>
      <c r="M190" s="614"/>
      <c r="N190" s="613"/>
      <c r="O190" s="617"/>
      <c r="P190" s="614"/>
      <c r="Q190" s="614"/>
      <c r="R190" s="613"/>
      <c r="S190" s="615"/>
      <c r="T190" s="615"/>
      <c r="U190" s="615"/>
      <c r="V190" s="615"/>
      <c r="W190" s="615"/>
      <c r="X190" s="615"/>
      <c r="Y190" s="615"/>
      <c r="Z190" s="615"/>
      <c r="AA190" s="615"/>
      <c r="AB190" s="616"/>
    </row>
    <row r="191" spans="1:28" s="74" customFormat="1">
      <c r="A191" s="443"/>
      <c r="B191" s="444"/>
      <c r="C191" s="445"/>
      <c r="D191" s="446"/>
      <c r="E191" s="446"/>
      <c r="F191" s="446"/>
      <c r="G191" s="446"/>
      <c r="H191" s="446"/>
      <c r="I191" s="445"/>
      <c r="J191" s="445"/>
      <c r="K191" s="446"/>
      <c r="L191" s="446"/>
      <c r="M191" s="446"/>
      <c r="N191" s="445"/>
      <c r="O191" s="618"/>
      <c r="P191" s="446"/>
      <c r="Q191" s="446"/>
      <c r="R191" s="445"/>
      <c r="S191" s="604"/>
      <c r="T191" s="604"/>
      <c r="U191" s="604"/>
      <c r="V191" s="604"/>
      <c r="W191" s="604"/>
      <c r="X191" s="604"/>
      <c r="Y191" s="604"/>
      <c r="Z191" s="604"/>
      <c r="AA191" s="604"/>
      <c r="AB191" s="606"/>
    </row>
    <row r="192" spans="1:28" s="74" customFormat="1">
      <c r="A192" s="443"/>
      <c r="B192" s="444"/>
      <c r="C192" s="445"/>
      <c r="D192" s="446"/>
      <c r="E192" s="446"/>
      <c r="F192" s="446"/>
      <c r="G192" s="446"/>
      <c r="H192" s="446"/>
      <c r="I192" s="445"/>
      <c r="J192" s="445"/>
      <c r="K192" s="446"/>
      <c r="L192" s="446"/>
      <c r="M192" s="446"/>
      <c r="N192" s="445"/>
      <c r="O192" s="618"/>
      <c r="P192" s="446"/>
      <c r="Q192" s="446"/>
      <c r="R192" s="445"/>
      <c r="S192" s="604"/>
      <c r="T192" s="604"/>
      <c r="U192" s="604"/>
      <c r="V192" s="604"/>
      <c r="W192" s="604"/>
      <c r="X192" s="604"/>
      <c r="Y192" s="604"/>
      <c r="Z192" s="604"/>
      <c r="AA192" s="604"/>
      <c r="AB192" s="606"/>
    </row>
    <row r="193" spans="1:28" s="74" customFormat="1">
      <c r="A193" s="443"/>
      <c r="B193" s="447"/>
      <c r="C193" s="613"/>
      <c r="D193" s="614"/>
      <c r="E193" s="614"/>
      <c r="F193" s="614"/>
      <c r="G193" s="614"/>
      <c r="H193" s="614"/>
      <c r="I193" s="613"/>
      <c r="J193" s="613"/>
      <c r="K193" s="614"/>
      <c r="L193" s="614"/>
      <c r="M193" s="614"/>
      <c r="N193" s="613"/>
      <c r="O193" s="617"/>
      <c r="P193" s="614"/>
      <c r="Q193" s="614"/>
      <c r="R193" s="613"/>
      <c r="S193" s="615"/>
      <c r="T193" s="615"/>
      <c r="U193" s="615"/>
      <c r="V193" s="615"/>
      <c r="W193" s="615"/>
      <c r="X193" s="615"/>
      <c r="Y193" s="615"/>
      <c r="Z193" s="615"/>
      <c r="AA193" s="615"/>
      <c r="AB193" s="616"/>
    </row>
    <row r="194" spans="1:28" s="74" customFormat="1">
      <c r="A194" s="443"/>
      <c r="B194" s="444"/>
      <c r="C194" s="445"/>
      <c r="D194" s="446"/>
      <c r="E194" s="446"/>
      <c r="F194" s="446"/>
      <c r="G194" s="446"/>
      <c r="H194" s="446"/>
      <c r="I194" s="445"/>
      <c r="J194" s="445"/>
      <c r="K194" s="446"/>
      <c r="L194" s="446"/>
      <c r="M194" s="446"/>
      <c r="N194" s="445"/>
      <c r="O194" s="618"/>
      <c r="P194" s="446"/>
      <c r="Q194" s="446"/>
      <c r="R194" s="445"/>
      <c r="S194" s="604"/>
      <c r="T194" s="604"/>
      <c r="U194" s="604"/>
      <c r="V194" s="604"/>
      <c r="W194" s="604"/>
      <c r="X194" s="604"/>
      <c r="Y194" s="604"/>
      <c r="Z194" s="604"/>
      <c r="AA194" s="604"/>
      <c r="AB194" s="606"/>
    </row>
    <row r="195" spans="1:28" s="74" customFormat="1">
      <c r="A195" s="443"/>
      <c r="B195" s="444"/>
      <c r="C195" s="445"/>
      <c r="D195" s="446"/>
      <c r="E195" s="446"/>
      <c r="F195" s="446"/>
      <c r="G195" s="446"/>
      <c r="H195" s="446"/>
      <c r="I195" s="445"/>
      <c r="J195" s="445"/>
      <c r="K195" s="446"/>
      <c r="L195" s="446"/>
      <c r="M195" s="446"/>
      <c r="N195" s="445"/>
      <c r="O195" s="618"/>
      <c r="P195" s="446"/>
      <c r="Q195" s="446"/>
      <c r="R195" s="445"/>
      <c r="S195" s="604"/>
      <c r="T195" s="604"/>
      <c r="U195" s="604"/>
      <c r="V195" s="604"/>
      <c r="W195" s="604"/>
      <c r="X195" s="604"/>
      <c r="Y195" s="604"/>
      <c r="Z195" s="604"/>
      <c r="AA195" s="604"/>
      <c r="AB195" s="606"/>
    </row>
    <row r="196" spans="1:28" s="74" customFormat="1">
      <c r="A196" s="443"/>
      <c r="B196" s="447"/>
      <c r="C196" s="613"/>
      <c r="D196" s="614"/>
      <c r="E196" s="614"/>
      <c r="F196" s="614"/>
      <c r="G196" s="614"/>
      <c r="H196" s="614"/>
      <c r="I196" s="613"/>
      <c r="J196" s="613"/>
      <c r="K196" s="614"/>
      <c r="L196" s="614"/>
      <c r="M196" s="614"/>
      <c r="N196" s="613"/>
      <c r="O196" s="619"/>
      <c r="P196" s="614"/>
      <c r="Q196" s="614"/>
      <c r="R196" s="613"/>
      <c r="S196" s="615"/>
      <c r="T196" s="615"/>
      <c r="U196" s="615"/>
      <c r="V196" s="615"/>
      <c r="W196" s="615"/>
      <c r="X196" s="615"/>
      <c r="Y196" s="615"/>
      <c r="Z196" s="615"/>
      <c r="AA196" s="615"/>
      <c r="AB196" s="616"/>
    </row>
    <row r="197" spans="1:28">
      <c r="A197" s="442"/>
      <c r="B197" s="440"/>
      <c r="C197" s="437"/>
      <c r="D197" s="441"/>
      <c r="E197" s="441"/>
      <c r="F197" s="441"/>
      <c r="G197" s="441"/>
      <c r="H197" s="441"/>
      <c r="I197" s="437"/>
      <c r="J197" s="437"/>
      <c r="K197" s="441"/>
      <c r="L197" s="441"/>
      <c r="M197" s="441"/>
      <c r="N197" s="437"/>
      <c r="O197" s="437"/>
      <c r="P197" s="441"/>
      <c r="Q197" s="441"/>
      <c r="R197" s="437"/>
      <c r="S197" s="603"/>
      <c r="T197" s="603"/>
      <c r="U197" s="603"/>
      <c r="V197" s="603"/>
      <c r="W197" s="603"/>
      <c r="X197" s="603"/>
      <c r="Y197" s="603"/>
      <c r="Z197" s="603"/>
      <c r="AA197" s="603"/>
      <c r="AB197" s="605"/>
    </row>
    <row r="198" spans="1:28" s="74" customFormat="1">
      <c r="A198" s="443"/>
      <c r="B198" s="444"/>
      <c r="C198" s="445"/>
      <c r="D198" s="446"/>
      <c r="E198" s="446"/>
      <c r="F198" s="446"/>
      <c r="G198" s="446"/>
      <c r="H198" s="446"/>
      <c r="I198" s="445"/>
      <c r="J198" s="445"/>
      <c r="K198" s="446"/>
      <c r="L198" s="446"/>
      <c r="M198" s="446"/>
      <c r="N198" s="445"/>
      <c r="O198" s="445"/>
      <c r="P198" s="446"/>
      <c r="Q198" s="446"/>
      <c r="R198" s="445"/>
      <c r="S198" s="604"/>
      <c r="T198" s="604"/>
      <c r="U198" s="604"/>
      <c r="V198" s="604"/>
      <c r="W198" s="604"/>
      <c r="X198" s="604"/>
      <c r="Y198" s="604"/>
      <c r="Z198" s="604"/>
      <c r="AA198" s="604"/>
      <c r="AB198" s="606"/>
    </row>
    <row r="199" spans="1:28" s="74" customFormat="1">
      <c r="A199" s="443"/>
      <c r="B199" s="447"/>
      <c r="C199" s="613"/>
      <c r="D199" s="614"/>
      <c r="E199" s="614"/>
      <c r="F199" s="614"/>
      <c r="G199" s="614"/>
      <c r="H199" s="614"/>
      <c r="I199" s="613"/>
      <c r="J199" s="613"/>
      <c r="K199" s="614"/>
      <c r="L199" s="614"/>
      <c r="M199" s="614"/>
      <c r="N199" s="613"/>
      <c r="O199" s="617"/>
      <c r="P199" s="614"/>
      <c r="Q199" s="614"/>
      <c r="R199" s="613"/>
      <c r="S199" s="615"/>
      <c r="T199" s="615"/>
      <c r="U199" s="615"/>
      <c r="V199" s="615"/>
      <c r="W199" s="615"/>
      <c r="X199" s="615"/>
      <c r="Y199" s="615"/>
      <c r="Z199" s="615"/>
      <c r="AA199" s="615"/>
      <c r="AB199" s="616"/>
    </row>
    <row r="200" spans="1:28">
      <c r="A200" s="443"/>
      <c r="B200" s="444"/>
      <c r="C200" s="445"/>
      <c r="D200" s="446"/>
      <c r="E200" s="446"/>
      <c r="F200" s="446"/>
      <c r="G200" s="446"/>
      <c r="H200" s="446"/>
      <c r="I200" s="445"/>
      <c r="J200" s="445"/>
      <c r="K200" s="446"/>
      <c r="L200" s="446"/>
      <c r="M200" s="446"/>
      <c r="N200" s="445"/>
      <c r="O200" s="618"/>
      <c r="P200" s="446"/>
      <c r="Q200" s="446"/>
      <c r="R200" s="445"/>
      <c r="S200" s="604"/>
      <c r="T200" s="604"/>
      <c r="U200" s="604"/>
      <c r="V200" s="604"/>
      <c r="W200" s="604"/>
      <c r="X200" s="604"/>
      <c r="Y200" s="604"/>
      <c r="Z200" s="604"/>
      <c r="AA200" s="604"/>
      <c r="AB200" s="606"/>
    </row>
    <row r="201" spans="1:28" s="74" customFormat="1">
      <c r="A201" s="443"/>
      <c r="B201" s="444"/>
      <c r="C201" s="445"/>
      <c r="D201" s="446"/>
      <c r="E201" s="446"/>
      <c r="F201" s="446"/>
      <c r="G201" s="446"/>
      <c r="H201" s="446"/>
      <c r="I201" s="445"/>
      <c r="J201" s="445"/>
      <c r="K201" s="446"/>
      <c r="L201" s="446"/>
      <c r="M201" s="446"/>
      <c r="N201" s="445"/>
      <c r="O201" s="618"/>
      <c r="P201" s="446"/>
      <c r="Q201" s="446"/>
      <c r="R201" s="445"/>
      <c r="S201" s="604"/>
      <c r="T201" s="604"/>
      <c r="U201" s="604"/>
      <c r="V201" s="604"/>
      <c r="W201" s="604"/>
      <c r="X201" s="604"/>
      <c r="Y201" s="604"/>
      <c r="Z201" s="604"/>
      <c r="AA201" s="604"/>
      <c r="AB201" s="606"/>
    </row>
    <row r="202" spans="1:28" s="74" customFormat="1">
      <c r="A202" s="443"/>
      <c r="B202" s="447"/>
      <c r="C202" s="613"/>
      <c r="D202" s="614"/>
      <c r="E202" s="614"/>
      <c r="F202" s="614"/>
      <c r="G202" s="614"/>
      <c r="H202" s="614"/>
      <c r="I202" s="613"/>
      <c r="J202" s="613"/>
      <c r="K202" s="614"/>
      <c r="L202" s="614"/>
      <c r="M202" s="614"/>
      <c r="N202" s="613"/>
      <c r="O202" s="617"/>
      <c r="P202" s="614"/>
      <c r="Q202" s="614"/>
      <c r="R202" s="613"/>
      <c r="S202" s="615"/>
      <c r="T202" s="615"/>
      <c r="U202" s="615"/>
      <c r="V202" s="615"/>
      <c r="W202" s="615"/>
      <c r="X202" s="615"/>
      <c r="Y202" s="615"/>
      <c r="Z202" s="615"/>
      <c r="AA202" s="615"/>
      <c r="AB202" s="616"/>
    </row>
    <row r="203" spans="1:28">
      <c r="A203" s="443"/>
      <c r="B203" s="444"/>
      <c r="C203" s="445"/>
      <c r="D203" s="446"/>
      <c r="E203" s="446"/>
      <c r="F203" s="446"/>
      <c r="G203" s="446"/>
      <c r="H203" s="446"/>
      <c r="I203" s="445"/>
      <c r="J203" s="445"/>
      <c r="K203" s="446"/>
      <c r="L203" s="446"/>
      <c r="M203" s="446"/>
      <c r="N203" s="445"/>
      <c r="O203" s="618"/>
      <c r="P203" s="446"/>
      <c r="Q203" s="446"/>
      <c r="R203" s="445"/>
      <c r="S203" s="604"/>
      <c r="T203" s="604"/>
      <c r="U203" s="604"/>
      <c r="V203" s="604"/>
      <c r="W203" s="604"/>
      <c r="X203" s="604"/>
      <c r="Y203" s="604"/>
      <c r="Z203" s="604"/>
      <c r="AA203" s="604"/>
      <c r="AB203" s="606"/>
    </row>
    <row r="204" spans="1:28" s="74" customFormat="1">
      <c r="A204" s="443"/>
      <c r="B204" s="444"/>
      <c r="C204" s="445"/>
      <c r="D204" s="446"/>
      <c r="E204" s="446"/>
      <c r="F204" s="446"/>
      <c r="G204" s="446"/>
      <c r="H204" s="446"/>
      <c r="I204" s="445"/>
      <c r="J204" s="445"/>
      <c r="K204" s="446"/>
      <c r="L204" s="446"/>
      <c r="M204" s="446"/>
      <c r="N204" s="445"/>
      <c r="O204" s="618"/>
      <c r="P204" s="446"/>
      <c r="Q204" s="446"/>
      <c r="R204" s="445"/>
      <c r="S204" s="604"/>
      <c r="T204" s="604"/>
      <c r="U204" s="604"/>
      <c r="V204" s="604"/>
      <c r="W204" s="604"/>
      <c r="X204" s="604"/>
      <c r="Y204" s="604"/>
      <c r="Z204" s="604"/>
      <c r="AA204" s="604"/>
      <c r="AB204" s="606"/>
    </row>
    <row r="205" spans="1:28" s="74" customFormat="1">
      <c r="A205" s="443"/>
      <c r="B205" s="447"/>
      <c r="C205" s="613"/>
      <c r="D205" s="614"/>
      <c r="E205" s="614"/>
      <c r="F205" s="614"/>
      <c r="G205" s="614"/>
      <c r="H205" s="614"/>
      <c r="I205" s="613"/>
      <c r="J205" s="613"/>
      <c r="K205" s="614"/>
      <c r="L205" s="614"/>
      <c r="M205" s="614"/>
      <c r="N205" s="613"/>
      <c r="O205" s="617"/>
      <c r="P205" s="614"/>
      <c r="Q205" s="614"/>
      <c r="R205" s="613"/>
      <c r="S205" s="615"/>
      <c r="T205" s="615"/>
      <c r="U205" s="615"/>
      <c r="V205" s="615"/>
      <c r="W205" s="615"/>
      <c r="X205" s="615"/>
      <c r="Y205" s="615"/>
      <c r="Z205" s="615"/>
      <c r="AA205" s="615"/>
      <c r="AB205" s="616"/>
    </row>
    <row r="206" spans="1:28">
      <c r="A206" s="443"/>
      <c r="B206" s="444"/>
      <c r="C206" s="445"/>
      <c r="D206" s="446"/>
      <c r="E206" s="446"/>
      <c r="F206" s="446"/>
      <c r="G206" s="446"/>
      <c r="H206" s="446"/>
      <c r="I206" s="445"/>
      <c r="J206" s="445"/>
      <c r="K206" s="446"/>
      <c r="L206" s="446"/>
      <c r="M206" s="446"/>
      <c r="N206" s="445"/>
      <c r="O206" s="618"/>
      <c r="P206" s="446"/>
      <c r="Q206" s="446"/>
      <c r="R206" s="445"/>
      <c r="S206" s="604"/>
      <c r="T206" s="604"/>
      <c r="U206" s="604"/>
      <c r="V206" s="604"/>
      <c r="W206" s="604"/>
      <c r="X206" s="604"/>
      <c r="Y206" s="604"/>
      <c r="Z206" s="604"/>
      <c r="AA206" s="604"/>
      <c r="AB206" s="606"/>
    </row>
    <row r="207" spans="1:28" s="74" customFormat="1">
      <c r="A207" s="443"/>
      <c r="B207" s="444"/>
      <c r="C207" s="445"/>
      <c r="D207" s="446"/>
      <c r="E207" s="446"/>
      <c r="F207" s="446"/>
      <c r="G207" s="446"/>
      <c r="H207" s="446"/>
      <c r="I207" s="445"/>
      <c r="J207" s="445"/>
      <c r="K207" s="446"/>
      <c r="L207" s="446"/>
      <c r="M207" s="446"/>
      <c r="N207" s="445"/>
      <c r="O207" s="618"/>
      <c r="P207" s="446"/>
      <c r="Q207" s="446"/>
      <c r="R207" s="445"/>
      <c r="S207" s="604"/>
      <c r="T207" s="604"/>
      <c r="U207" s="604"/>
      <c r="V207" s="604"/>
      <c r="W207" s="604"/>
      <c r="X207" s="604"/>
      <c r="Y207" s="604"/>
      <c r="Z207" s="604"/>
      <c r="AA207" s="604"/>
      <c r="AB207" s="606"/>
    </row>
    <row r="208" spans="1:28">
      <c r="A208" s="449"/>
      <c r="B208" s="620"/>
      <c r="C208" s="621"/>
      <c r="D208" s="622"/>
      <c r="E208" s="622"/>
      <c r="F208" s="622"/>
      <c r="G208" s="622"/>
      <c r="H208" s="622"/>
      <c r="I208" s="621"/>
      <c r="J208" s="621"/>
      <c r="K208" s="622"/>
      <c r="L208" s="622"/>
      <c r="M208" s="622"/>
      <c r="N208" s="621"/>
      <c r="O208" s="619"/>
      <c r="P208" s="622"/>
      <c r="Q208" s="622"/>
      <c r="R208" s="621"/>
      <c r="S208" s="623"/>
      <c r="T208" s="623"/>
      <c r="U208" s="623"/>
      <c r="V208" s="623"/>
      <c r="W208" s="623"/>
      <c r="X208" s="623"/>
      <c r="Y208" s="623"/>
      <c r="Z208" s="623"/>
      <c r="AA208" s="623"/>
      <c r="AB208" s="62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Q141"/>
  <sheetViews>
    <sheetView workbookViewId="0">
      <selection sqref="A1:XFD1048576"/>
    </sheetView>
  </sheetViews>
  <sheetFormatPr defaultRowHeight="12.75"/>
  <cols>
    <col min="1" max="1" width="5" style="320" customWidth="1"/>
    <col min="2" max="2" width="31.6640625" style="320" customWidth="1"/>
    <col min="3" max="8" width="15.6640625" style="320" customWidth="1"/>
    <col min="9" max="9" width="17.5" style="320" customWidth="1"/>
    <col min="10" max="13" width="13.6640625" style="320" customWidth="1"/>
    <col min="14" max="14" width="17.5" style="320" customWidth="1"/>
    <col min="15" max="17" width="12.83203125" style="320" customWidth="1"/>
    <col min="18" max="18" width="16.6640625" style="320" customWidth="1"/>
    <col min="19" max="19" width="9.5" style="320" customWidth="1"/>
    <col min="20" max="20" width="10" style="320" customWidth="1"/>
    <col min="21" max="21" width="13.83203125" style="320" customWidth="1"/>
    <col min="22" max="22" width="11.6640625" style="320" customWidth="1"/>
    <col min="23" max="24" width="11.5" style="320" customWidth="1"/>
    <col min="25" max="25" width="8.1640625" style="320" customWidth="1"/>
    <col min="26" max="26" width="10.33203125" style="320" bestFit="1" customWidth="1"/>
    <col min="27" max="32" width="9.33203125" style="320"/>
    <col min="33" max="33" width="9.33203125" style="366"/>
    <col min="34" max="41" width="9.33203125" style="320"/>
    <col min="42" max="42" width="10.1640625" style="320" customWidth="1"/>
    <col min="43" max="43" width="10.83203125" style="320" customWidth="1"/>
    <col min="44" max="16384" width="9.33203125" style="320"/>
  </cols>
  <sheetData>
    <row r="1" spans="1:43">
      <c r="E1" s="416"/>
      <c r="L1" s="418"/>
      <c r="M1" s="1"/>
    </row>
    <row r="3" spans="1:43" s="1" customFormat="1">
      <c r="A3" s="319"/>
      <c r="B3" s="325"/>
      <c r="C3" s="319"/>
      <c r="D3" s="325"/>
      <c r="E3" s="325"/>
      <c r="F3" s="325"/>
      <c r="G3" s="325"/>
      <c r="H3" s="325"/>
      <c r="I3" s="325"/>
      <c r="J3" s="325"/>
      <c r="K3" s="325"/>
      <c r="L3" s="325"/>
      <c r="M3" s="325"/>
      <c r="N3" s="325"/>
      <c r="O3" s="325"/>
      <c r="P3" s="325"/>
      <c r="Q3" s="325"/>
      <c r="R3" s="325"/>
      <c r="S3" s="325"/>
      <c r="T3" s="325"/>
      <c r="U3" s="630"/>
      <c r="V3" s="630"/>
      <c r="W3" s="630"/>
      <c r="X3" s="630"/>
      <c r="AG3" s="4"/>
    </row>
    <row r="4" spans="1:43" s="1" customFormat="1">
      <c r="A4" s="326"/>
      <c r="B4" s="327"/>
      <c r="C4" s="319"/>
      <c r="D4" s="325"/>
      <c r="E4" s="325"/>
      <c r="F4" s="325"/>
      <c r="G4" s="325"/>
      <c r="H4" s="325"/>
      <c r="I4" s="319"/>
      <c r="J4" s="319"/>
      <c r="K4" s="325"/>
      <c r="L4" s="325"/>
      <c r="M4" s="325"/>
      <c r="N4" s="319"/>
      <c r="O4" s="319"/>
      <c r="P4" s="325"/>
      <c r="Q4" s="325"/>
      <c r="R4" s="319"/>
      <c r="S4" s="319"/>
      <c r="T4" s="319"/>
      <c r="U4" s="631"/>
      <c r="V4" s="631"/>
      <c r="W4" s="631"/>
      <c r="X4" s="631"/>
      <c r="Z4" s="420"/>
      <c r="AA4" s="421"/>
      <c r="AB4" s="421"/>
      <c r="AC4" s="421"/>
      <c r="AD4" s="421"/>
      <c r="AE4" s="421"/>
      <c r="AF4" s="420"/>
      <c r="AG4" s="428"/>
      <c r="AH4" s="421"/>
      <c r="AI4" s="421"/>
      <c r="AJ4" s="421"/>
      <c r="AK4" s="420"/>
      <c r="AL4" s="420"/>
      <c r="AM4" s="421"/>
      <c r="AN4" s="421"/>
      <c r="AO4" s="420"/>
      <c r="AP4" s="420"/>
      <c r="AQ4" s="422"/>
    </row>
    <row r="5" spans="1:43" s="1" customFormat="1">
      <c r="A5" s="319"/>
      <c r="B5" s="319"/>
      <c r="C5" s="319"/>
      <c r="D5" s="328"/>
      <c r="E5" s="328"/>
      <c r="F5" s="328"/>
      <c r="G5" s="328"/>
      <c r="H5" s="328"/>
      <c r="I5" s="326"/>
      <c r="J5" s="319"/>
      <c r="K5" s="328"/>
      <c r="L5" s="328"/>
      <c r="M5" s="328"/>
      <c r="N5" s="326"/>
      <c r="O5" s="319"/>
      <c r="P5" s="328"/>
      <c r="Q5" s="328"/>
      <c r="R5" s="326"/>
      <c r="S5" s="319"/>
      <c r="T5" s="326"/>
      <c r="U5" s="631"/>
      <c r="V5" s="632"/>
      <c r="W5" s="631"/>
      <c r="X5" s="632"/>
      <c r="Z5" s="420"/>
      <c r="AA5" s="423"/>
      <c r="AB5" s="423"/>
      <c r="AC5" s="423"/>
      <c r="AD5" s="423"/>
      <c r="AE5" s="423"/>
      <c r="AF5" s="424"/>
      <c r="AG5" s="428"/>
      <c r="AH5" s="423"/>
      <c r="AI5" s="423"/>
      <c r="AJ5" s="423"/>
      <c r="AK5" s="424"/>
      <c r="AL5" s="420"/>
      <c r="AM5" s="423"/>
      <c r="AN5" s="423"/>
      <c r="AO5" s="424"/>
      <c r="AP5" s="420"/>
      <c r="AQ5" s="425"/>
    </row>
    <row r="6" spans="1:43">
      <c r="A6" s="329"/>
      <c r="B6" s="319"/>
      <c r="C6" s="323"/>
      <c r="D6" s="324"/>
      <c r="E6" s="324"/>
      <c r="F6" s="324"/>
      <c r="G6" s="324"/>
      <c r="H6" s="324"/>
      <c r="I6" s="323"/>
      <c r="J6" s="323"/>
      <c r="K6" s="324"/>
      <c r="L6" s="324"/>
      <c r="M6" s="324"/>
      <c r="N6" s="323"/>
      <c r="O6" s="323"/>
      <c r="P6" s="324"/>
      <c r="Q6" s="324"/>
      <c r="R6" s="323"/>
      <c r="S6" s="323"/>
      <c r="T6" s="323"/>
      <c r="U6" s="633"/>
      <c r="V6" s="633"/>
      <c r="W6" s="633"/>
      <c r="X6" s="633"/>
      <c r="Z6" s="427"/>
      <c r="AA6" s="427"/>
      <c r="AB6" s="427"/>
      <c r="AC6" s="427"/>
      <c r="AD6" s="427"/>
      <c r="AE6" s="427"/>
      <c r="AF6" s="427"/>
      <c r="AG6" s="431"/>
      <c r="AH6" s="427"/>
      <c r="AI6" s="427"/>
      <c r="AJ6" s="427"/>
      <c r="AK6" s="427"/>
      <c r="AL6" s="427"/>
      <c r="AM6" s="427"/>
      <c r="AN6" s="427"/>
      <c r="AO6" s="427"/>
      <c r="AP6" s="427"/>
      <c r="AQ6" s="427"/>
    </row>
    <row r="7" spans="1:43" s="1" customFormat="1">
      <c r="A7" s="322"/>
      <c r="B7" s="32"/>
      <c r="C7" s="321"/>
      <c r="D7" s="2"/>
      <c r="E7" s="2"/>
      <c r="F7" s="2"/>
      <c r="G7" s="2"/>
      <c r="H7" s="2"/>
      <c r="I7" s="321"/>
      <c r="J7" s="321"/>
      <c r="K7" s="2"/>
      <c r="L7" s="2"/>
      <c r="M7" s="2"/>
      <c r="N7" s="321"/>
      <c r="O7" s="321"/>
      <c r="P7" s="2"/>
      <c r="Q7" s="2"/>
      <c r="R7" s="321"/>
      <c r="S7" s="321"/>
      <c r="T7" s="321"/>
      <c r="U7" s="634"/>
      <c r="V7" s="634"/>
      <c r="W7" s="634"/>
      <c r="X7" s="634"/>
      <c r="Z7" s="108"/>
      <c r="AA7" s="108"/>
      <c r="AB7" s="108"/>
      <c r="AC7" s="108"/>
      <c r="AD7" s="108"/>
      <c r="AE7" s="108"/>
      <c r="AF7" s="108"/>
      <c r="AG7" s="430"/>
      <c r="AH7" s="108"/>
      <c r="AI7" s="108"/>
      <c r="AJ7" s="108"/>
      <c r="AK7" s="108"/>
      <c r="AL7" s="108"/>
      <c r="AM7" s="108"/>
      <c r="AN7" s="108"/>
      <c r="AO7" s="108"/>
      <c r="AP7" s="108"/>
      <c r="AQ7" s="108"/>
    </row>
    <row r="8" spans="1:43">
      <c r="A8" s="322"/>
      <c r="B8" s="369"/>
      <c r="C8" s="369"/>
      <c r="D8" s="370"/>
      <c r="E8" s="370"/>
      <c r="F8" s="370"/>
      <c r="G8" s="370"/>
      <c r="H8" s="370"/>
      <c r="I8" s="369"/>
      <c r="J8" s="369"/>
      <c r="K8" s="370"/>
      <c r="L8" s="370"/>
      <c r="M8" s="370"/>
      <c r="N8" s="369"/>
      <c r="O8" s="369"/>
      <c r="P8" s="370"/>
      <c r="Q8" s="370"/>
      <c r="R8" s="369"/>
      <c r="S8" s="369"/>
      <c r="T8" s="369"/>
      <c r="U8" s="635"/>
      <c r="V8" s="635"/>
      <c r="W8" s="635"/>
      <c r="X8" s="635"/>
      <c r="Z8" s="426"/>
      <c r="AA8" s="426"/>
      <c r="AB8" s="426"/>
      <c r="AC8" s="426"/>
      <c r="AD8" s="426"/>
      <c r="AE8" s="426"/>
      <c r="AF8" s="426"/>
      <c r="AG8" s="429"/>
      <c r="AH8" s="426"/>
      <c r="AI8" s="426"/>
      <c r="AJ8" s="426"/>
      <c r="AK8" s="426"/>
      <c r="AL8" s="426"/>
      <c r="AM8" s="426"/>
      <c r="AN8" s="426"/>
      <c r="AO8" s="426"/>
      <c r="AP8" s="426"/>
      <c r="AQ8" s="426"/>
    </row>
    <row r="9" spans="1:43" s="1" customFormat="1">
      <c r="A9" s="322"/>
      <c r="B9" s="32"/>
      <c r="C9" s="321"/>
      <c r="D9" s="2"/>
      <c r="E9" s="2"/>
      <c r="F9" s="2"/>
      <c r="G9" s="2"/>
      <c r="H9" s="2"/>
      <c r="I9" s="321"/>
      <c r="J9" s="321"/>
      <c r="K9" s="2"/>
      <c r="L9" s="2"/>
      <c r="M9" s="2"/>
      <c r="N9" s="321"/>
      <c r="O9" s="321"/>
      <c r="P9" s="2"/>
      <c r="Q9" s="2"/>
      <c r="R9" s="321"/>
      <c r="S9" s="321"/>
      <c r="T9" s="321"/>
      <c r="U9" s="634"/>
      <c r="V9" s="634"/>
      <c r="W9" s="634"/>
      <c r="X9" s="634"/>
      <c r="Y9" s="416"/>
      <c r="Z9" s="108"/>
      <c r="AA9" s="108"/>
      <c r="AB9" s="108"/>
      <c r="AC9" s="108"/>
      <c r="AD9" s="108"/>
      <c r="AE9" s="108"/>
      <c r="AF9" s="108"/>
      <c r="AG9" s="430"/>
      <c r="AH9" s="108"/>
      <c r="AI9" s="108"/>
      <c r="AJ9" s="108"/>
      <c r="AK9" s="108"/>
      <c r="AL9" s="108"/>
      <c r="AM9" s="108"/>
      <c r="AN9" s="108"/>
      <c r="AO9" s="108"/>
      <c r="AP9" s="108"/>
      <c r="AQ9" s="108"/>
    </row>
    <row r="10" spans="1:43">
      <c r="A10" s="322"/>
      <c r="B10" s="32"/>
      <c r="C10" s="321"/>
      <c r="D10" s="2"/>
      <c r="E10" s="2"/>
      <c r="F10" s="2"/>
      <c r="G10" s="2"/>
      <c r="H10" s="2"/>
      <c r="I10" s="321"/>
      <c r="J10" s="321"/>
      <c r="K10" s="2"/>
      <c r="L10" s="2"/>
      <c r="M10" s="2"/>
      <c r="N10" s="321"/>
      <c r="O10" s="321"/>
      <c r="P10" s="2"/>
      <c r="Q10" s="2"/>
      <c r="R10" s="321"/>
      <c r="S10" s="321"/>
      <c r="T10" s="321"/>
      <c r="U10" s="634"/>
      <c r="V10" s="634"/>
      <c r="W10" s="634"/>
      <c r="X10" s="634"/>
      <c r="Z10" s="427"/>
      <c r="AA10" s="427"/>
      <c r="AB10" s="427"/>
      <c r="AC10" s="427"/>
      <c r="AD10" s="427"/>
      <c r="AE10" s="427"/>
      <c r="AF10" s="427"/>
      <c r="AG10" s="431"/>
      <c r="AH10" s="427"/>
      <c r="AI10" s="427"/>
      <c r="AJ10" s="427"/>
      <c r="AK10" s="427"/>
      <c r="AL10" s="427"/>
      <c r="AM10" s="427"/>
      <c r="AN10" s="427"/>
      <c r="AO10" s="427"/>
      <c r="AP10" s="427"/>
      <c r="AQ10" s="427"/>
    </row>
    <row r="11" spans="1:43" s="1" customFormat="1">
      <c r="A11" s="322"/>
      <c r="B11" s="382"/>
      <c r="C11" s="382"/>
      <c r="D11" s="383"/>
      <c r="E11" s="383"/>
      <c r="F11" s="383"/>
      <c r="G11" s="383"/>
      <c r="H11" s="383"/>
      <c r="I11" s="382"/>
      <c r="J11" s="382"/>
      <c r="K11" s="383"/>
      <c r="L11" s="383"/>
      <c r="M11" s="383"/>
      <c r="N11" s="382"/>
      <c r="O11" s="382"/>
      <c r="P11" s="383"/>
      <c r="Q11" s="383"/>
      <c r="R11" s="382"/>
      <c r="S11" s="382"/>
      <c r="T11" s="382"/>
      <c r="U11" s="636"/>
      <c r="V11" s="636"/>
      <c r="W11" s="636"/>
      <c r="X11" s="636"/>
      <c r="Z11" s="426"/>
      <c r="AA11" s="426"/>
      <c r="AB11" s="426"/>
      <c r="AC11" s="426"/>
      <c r="AD11" s="426"/>
      <c r="AE11" s="426"/>
      <c r="AF11" s="426"/>
      <c r="AG11" s="429"/>
      <c r="AH11" s="426"/>
      <c r="AI11" s="426"/>
      <c r="AJ11" s="426"/>
      <c r="AK11" s="426"/>
      <c r="AL11" s="426"/>
      <c r="AM11" s="426"/>
      <c r="AN11" s="426"/>
      <c r="AO11" s="426"/>
      <c r="AP11" s="426"/>
      <c r="AQ11" s="426"/>
    </row>
    <row r="12" spans="1:43">
      <c r="A12" s="330"/>
      <c r="B12" s="417"/>
      <c r="C12" s="419"/>
      <c r="D12" s="599"/>
      <c r="E12" s="599"/>
      <c r="F12" s="599"/>
      <c r="G12" s="599"/>
      <c r="H12" s="599"/>
      <c r="I12" s="419"/>
      <c r="J12" s="419"/>
      <c r="K12" s="599"/>
      <c r="L12" s="599"/>
      <c r="M12" s="599"/>
      <c r="N12" s="419"/>
      <c r="O12" s="419"/>
      <c r="P12" s="599"/>
      <c r="Q12" s="599"/>
      <c r="R12" s="419"/>
      <c r="S12" s="419"/>
      <c r="T12" s="419"/>
      <c r="U12" s="637"/>
      <c r="V12" s="637"/>
      <c r="W12" s="637"/>
      <c r="X12" s="637"/>
      <c r="Z12" s="640"/>
      <c r="AA12" s="640"/>
      <c r="AB12" s="640"/>
      <c r="AC12" s="640"/>
      <c r="AD12" s="640"/>
      <c r="AE12" s="640"/>
      <c r="AF12" s="640"/>
      <c r="AG12" s="641"/>
      <c r="AH12" s="640"/>
      <c r="AI12" s="640"/>
      <c r="AJ12" s="640"/>
      <c r="AK12" s="640"/>
      <c r="AL12" s="640"/>
      <c r="AM12" s="640"/>
      <c r="AN12" s="640"/>
      <c r="AO12" s="640"/>
      <c r="AP12" s="640"/>
      <c r="AQ12" s="640"/>
    </row>
    <row r="13" spans="1:43" s="1" customFormat="1">
      <c r="A13" s="329"/>
      <c r="B13" s="319"/>
      <c r="C13" s="323"/>
      <c r="D13" s="324"/>
      <c r="E13" s="324"/>
      <c r="F13" s="324"/>
      <c r="G13" s="324"/>
      <c r="H13" s="324"/>
      <c r="I13" s="323"/>
      <c r="J13" s="323"/>
      <c r="K13" s="324"/>
      <c r="L13" s="324"/>
      <c r="M13" s="324"/>
      <c r="N13" s="323"/>
      <c r="O13" s="323"/>
      <c r="P13" s="324"/>
      <c r="Q13" s="324"/>
      <c r="R13" s="323"/>
      <c r="S13" s="323"/>
      <c r="T13" s="323"/>
      <c r="U13" s="633"/>
      <c r="V13" s="633"/>
      <c r="W13" s="633"/>
      <c r="X13" s="633"/>
      <c r="Z13" s="108"/>
      <c r="AA13" s="108"/>
      <c r="AB13" s="108"/>
      <c r="AC13" s="108"/>
      <c r="AD13" s="108"/>
      <c r="AE13" s="108"/>
      <c r="AF13" s="108"/>
      <c r="AG13" s="430"/>
      <c r="AH13" s="108"/>
      <c r="AI13" s="108"/>
      <c r="AJ13" s="108"/>
      <c r="AK13" s="108"/>
      <c r="AL13" s="108"/>
      <c r="AM13" s="108"/>
      <c r="AN13" s="108"/>
      <c r="AO13" s="108"/>
      <c r="AP13" s="108"/>
      <c r="AQ13" s="108"/>
    </row>
    <row r="14" spans="1:43" s="1" customFormat="1">
      <c r="A14" s="322"/>
      <c r="B14" s="32"/>
      <c r="C14" s="321"/>
      <c r="D14" s="2"/>
      <c r="E14" s="2"/>
      <c r="F14" s="2"/>
      <c r="G14" s="2"/>
      <c r="H14" s="2"/>
      <c r="I14" s="321"/>
      <c r="J14" s="321"/>
      <c r="K14" s="2"/>
      <c r="L14" s="2"/>
      <c r="M14" s="2"/>
      <c r="N14" s="321"/>
      <c r="O14" s="321"/>
      <c r="P14" s="2"/>
      <c r="Q14" s="2"/>
      <c r="R14" s="321"/>
      <c r="S14" s="321"/>
      <c r="T14" s="321"/>
      <c r="U14" s="634"/>
      <c r="V14" s="634"/>
      <c r="W14" s="634"/>
      <c r="X14" s="634"/>
      <c r="Z14" s="108"/>
      <c r="AA14" s="108"/>
      <c r="AB14" s="108"/>
      <c r="AC14" s="108"/>
      <c r="AD14" s="108"/>
      <c r="AE14" s="108"/>
      <c r="AF14" s="108"/>
      <c r="AG14" s="430"/>
      <c r="AH14" s="108"/>
      <c r="AI14" s="108"/>
      <c r="AJ14" s="108"/>
      <c r="AK14" s="108"/>
      <c r="AL14" s="108"/>
      <c r="AM14" s="108"/>
      <c r="AN14" s="108"/>
      <c r="AO14" s="108"/>
      <c r="AP14" s="108"/>
      <c r="AQ14" s="108"/>
    </row>
    <row r="15" spans="1:43">
      <c r="A15" s="322"/>
      <c r="B15" s="369"/>
      <c r="C15" s="369"/>
      <c r="D15" s="370"/>
      <c r="E15" s="370"/>
      <c r="F15" s="370"/>
      <c r="G15" s="370"/>
      <c r="H15" s="370"/>
      <c r="I15" s="369"/>
      <c r="J15" s="369"/>
      <c r="K15" s="370"/>
      <c r="L15" s="370"/>
      <c r="M15" s="370"/>
      <c r="N15" s="369"/>
      <c r="O15" s="369"/>
      <c r="P15" s="370"/>
      <c r="Q15" s="370"/>
      <c r="R15" s="369"/>
      <c r="S15" s="369"/>
      <c r="T15" s="369"/>
      <c r="U15" s="635"/>
      <c r="V15" s="635"/>
      <c r="W15" s="635"/>
      <c r="X15" s="635"/>
      <c r="Z15" s="426"/>
      <c r="AA15" s="426"/>
      <c r="AB15" s="426"/>
      <c r="AC15" s="426"/>
      <c r="AD15" s="426"/>
      <c r="AE15" s="426"/>
      <c r="AF15" s="426"/>
      <c r="AG15" s="429"/>
      <c r="AH15" s="426"/>
      <c r="AI15" s="426"/>
      <c r="AJ15" s="426"/>
      <c r="AK15" s="426"/>
      <c r="AL15" s="426"/>
      <c r="AM15" s="426"/>
      <c r="AN15" s="426"/>
      <c r="AO15" s="426"/>
      <c r="AP15" s="426"/>
      <c r="AQ15" s="426"/>
    </row>
    <row r="16" spans="1:43" s="1" customFormat="1">
      <c r="A16" s="322"/>
      <c r="B16" s="32"/>
      <c r="C16" s="321"/>
      <c r="D16" s="2"/>
      <c r="E16" s="2"/>
      <c r="F16" s="2"/>
      <c r="G16" s="2"/>
      <c r="H16" s="2"/>
      <c r="I16" s="321"/>
      <c r="J16" s="321"/>
      <c r="K16" s="2"/>
      <c r="L16" s="2"/>
      <c r="M16" s="2"/>
      <c r="N16" s="321"/>
      <c r="O16" s="321"/>
      <c r="P16" s="2"/>
      <c r="Q16" s="2"/>
      <c r="R16" s="321"/>
      <c r="S16" s="321"/>
      <c r="T16" s="321"/>
      <c r="U16" s="634"/>
      <c r="V16" s="634"/>
      <c r="W16" s="634"/>
      <c r="X16" s="634"/>
      <c r="Z16" s="108"/>
      <c r="AA16" s="108"/>
      <c r="AB16" s="108"/>
      <c r="AC16" s="108"/>
      <c r="AD16" s="108"/>
      <c r="AE16" s="108"/>
      <c r="AF16" s="108"/>
      <c r="AG16" s="430"/>
      <c r="AH16" s="108"/>
      <c r="AI16" s="108"/>
      <c r="AJ16" s="108"/>
      <c r="AK16" s="108"/>
      <c r="AL16" s="108"/>
      <c r="AM16" s="108"/>
      <c r="AN16" s="108"/>
      <c r="AO16" s="108"/>
      <c r="AP16" s="108"/>
      <c r="AQ16" s="108"/>
    </row>
    <row r="17" spans="1:43">
      <c r="A17" s="322"/>
      <c r="B17" s="32"/>
      <c r="C17" s="321"/>
      <c r="D17" s="2"/>
      <c r="E17" s="2"/>
      <c r="F17" s="2"/>
      <c r="G17" s="2"/>
      <c r="H17" s="2"/>
      <c r="I17" s="321"/>
      <c r="J17" s="321"/>
      <c r="K17" s="2"/>
      <c r="L17" s="2"/>
      <c r="M17" s="2"/>
      <c r="N17" s="321"/>
      <c r="O17" s="321"/>
      <c r="P17" s="2"/>
      <c r="Q17" s="2"/>
      <c r="R17" s="321"/>
      <c r="S17" s="321"/>
      <c r="T17" s="321"/>
      <c r="U17" s="634"/>
      <c r="V17" s="634"/>
      <c r="W17" s="634"/>
      <c r="X17" s="634"/>
      <c r="Z17" s="427"/>
      <c r="AA17" s="427"/>
      <c r="AB17" s="427"/>
      <c r="AC17" s="427"/>
      <c r="AD17" s="427"/>
      <c r="AE17" s="427"/>
      <c r="AF17" s="427"/>
      <c r="AG17" s="431"/>
      <c r="AH17" s="427"/>
      <c r="AI17" s="427"/>
      <c r="AJ17" s="427"/>
      <c r="AK17" s="427"/>
      <c r="AL17" s="427"/>
      <c r="AM17" s="427"/>
      <c r="AN17" s="427"/>
      <c r="AO17" s="427"/>
      <c r="AP17" s="427"/>
      <c r="AQ17" s="427"/>
    </row>
    <row r="18" spans="1:43" s="1" customFormat="1">
      <c r="A18" s="322"/>
      <c r="B18" s="382"/>
      <c r="C18" s="382"/>
      <c r="D18" s="383"/>
      <c r="E18" s="383"/>
      <c r="F18" s="383"/>
      <c r="G18" s="383"/>
      <c r="H18" s="383"/>
      <c r="I18" s="382"/>
      <c r="J18" s="382"/>
      <c r="K18" s="383"/>
      <c r="L18" s="383"/>
      <c r="M18" s="383"/>
      <c r="N18" s="382"/>
      <c r="O18" s="382"/>
      <c r="P18" s="383"/>
      <c r="Q18" s="383"/>
      <c r="R18" s="382"/>
      <c r="S18" s="382"/>
      <c r="T18" s="382"/>
      <c r="U18" s="636"/>
      <c r="V18" s="636"/>
      <c r="W18" s="636"/>
      <c r="X18" s="636"/>
      <c r="Z18" s="426"/>
      <c r="AA18" s="426"/>
      <c r="AB18" s="426"/>
      <c r="AC18" s="426"/>
      <c r="AD18" s="426"/>
      <c r="AE18" s="426"/>
      <c r="AF18" s="426"/>
      <c r="AG18" s="429"/>
      <c r="AH18" s="426"/>
      <c r="AI18" s="426"/>
      <c r="AJ18" s="426"/>
      <c r="AK18" s="426"/>
      <c r="AL18" s="426"/>
      <c r="AM18" s="426"/>
      <c r="AN18" s="426"/>
      <c r="AO18" s="426"/>
      <c r="AP18" s="426"/>
      <c r="AQ18" s="426"/>
    </row>
    <row r="19" spans="1:43">
      <c r="A19" s="330"/>
      <c r="B19" s="417"/>
      <c r="C19" s="419"/>
      <c r="D19" s="599"/>
      <c r="E19" s="599"/>
      <c r="F19" s="599"/>
      <c r="G19" s="599"/>
      <c r="H19" s="599"/>
      <c r="I19" s="419"/>
      <c r="J19" s="419"/>
      <c r="K19" s="599"/>
      <c r="L19" s="599"/>
      <c r="M19" s="599"/>
      <c r="N19" s="419"/>
      <c r="O19" s="419"/>
      <c r="P19" s="599"/>
      <c r="Q19" s="599"/>
      <c r="R19" s="419"/>
      <c r="S19" s="419"/>
      <c r="T19" s="419"/>
      <c r="U19" s="637"/>
      <c r="V19" s="637"/>
      <c r="W19" s="637"/>
      <c r="X19" s="637"/>
      <c r="Z19" s="640"/>
      <c r="AA19" s="640"/>
      <c r="AB19" s="640"/>
      <c r="AC19" s="640"/>
      <c r="AD19" s="640"/>
      <c r="AE19" s="640"/>
      <c r="AF19" s="640"/>
      <c r="AG19" s="641"/>
      <c r="AH19" s="640"/>
      <c r="AI19" s="640"/>
      <c r="AJ19" s="640"/>
      <c r="AK19" s="640"/>
      <c r="AL19" s="640"/>
      <c r="AM19" s="640"/>
      <c r="AN19" s="640"/>
      <c r="AO19" s="640"/>
      <c r="AP19" s="640"/>
      <c r="AQ19" s="640"/>
    </row>
    <row r="20" spans="1:43" s="1" customFormat="1">
      <c r="A20" s="329"/>
      <c r="B20" s="319"/>
      <c r="C20" s="323"/>
      <c r="D20" s="324"/>
      <c r="E20" s="324"/>
      <c r="F20" s="324"/>
      <c r="G20" s="324"/>
      <c r="H20" s="324"/>
      <c r="I20" s="323"/>
      <c r="J20" s="323"/>
      <c r="K20" s="324"/>
      <c r="L20" s="324"/>
      <c r="M20" s="324"/>
      <c r="N20" s="323"/>
      <c r="O20" s="323"/>
      <c r="P20" s="324"/>
      <c r="Q20" s="324"/>
      <c r="R20" s="323"/>
      <c r="S20" s="323"/>
      <c r="T20" s="323"/>
      <c r="U20" s="633"/>
      <c r="V20" s="633"/>
      <c r="W20" s="633"/>
      <c r="X20" s="633"/>
      <c r="Z20" s="108"/>
      <c r="AA20" s="108"/>
      <c r="AB20" s="108"/>
      <c r="AC20" s="108"/>
      <c r="AD20" s="108"/>
      <c r="AE20" s="108"/>
      <c r="AF20" s="108"/>
      <c r="AG20" s="430"/>
      <c r="AH20" s="108"/>
      <c r="AI20" s="108"/>
      <c r="AJ20" s="108"/>
      <c r="AK20" s="108"/>
      <c r="AL20" s="108"/>
      <c r="AM20" s="108"/>
      <c r="AN20" s="108"/>
      <c r="AO20" s="108"/>
      <c r="AP20" s="108"/>
      <c r="AQ20" s="108"/>
    </row>
    <row r="21" spans="1:43">
      <c r="A21" s="322"/>
      <c r="B21" s="32"/>
      <c r="C21" s="321"/>
      <c r="D21" s="2"/>
      <c r="E21" s="2"/>
      <c r="F21" s="2"/>
      <c r="G21" s="2"/>
      <c r="H21" s="2"/>
      <c r="I21" s="321"/>
      <c r="J21" s="321"/>
      <c r="K21" s="2"/>
      <c r="L21" s="2"/>
      <c r="M21" s="2"/>
      <c r="N21" s="321"/>
      <c r="O21" s="321"/>
      <c r="P21" s="2"/>
      <c r="Q21" s="2"/>
      <c r="R21" s="321"/>
      <c r="S21" s="321"/>
      <c r="T21" s="321"/>
      <c r="U21" s="634"/>
      <c r="V21" s="634"/>
      <c r="W21" s="634"/>
      <c r="X21" s="634"/>
      <c r="Z21" s="427"/>
      <c r="AA21" s="427"/>
      <c r="AB21" s="427"/>
      <c r="AC21" s="427"/>
      <c r="AD21" s="427"/>
      <c r="AE21" s="427"/>
      <c r="AF21" s="427"/>
      <c r="AG21" s="431"/>
      <c r="AH21" s="427"/>
      <c r="AI21" s="427"/>
      <c r="AJ21" s="427"/>
      <c r="AK21" s="427"/>
      <c r="AL21" s="427"/>
      <c r="AM21" s="427"/>
      <c r="AN21" s="427"/>
      <c r="AO21" s="427"/>
      <c r="AP21" s="427"/>
      <c r="AQ21" s="427"/>
    </row>
    <row r="22" spans="1:43" s="1" customFormat="1">
      <c r="A22" s="322"/>
      <c r="B22" s="369"/>
      <c r="C22" s="369"/>
      <c r="D22" s="370"/>
      <c r="E22" s="370"/>
      <c r="F22" s="370"/>
      <c r="G22" s="370"/>
      <c r="H22" s="370"/>
      <c r="I22" s="369"/>
      <c r="J22" s="369"/>
      <c r="K22" s="370"/>
      <c r="L22" s="370"/>
      <c r="M22" s="370"/>
      <c r="N22" s="369"/>
      <c r="O22" s="369"/>
      <c r="P22" s="370"/>
      <c r="Q22" s="370"/>
      <c r="R22" s="369"/>
      <c r="S22" s="369"/>
      <c r="T22" s="369"/>
      <c r="U22" s="635"/>
      <c r="V22" s="635"/>
      <c r="W22" s="635"/>
      <c r="X22" s="635"/>
      <c r="Z22" s="426"/>
      <c r="AA22" s="426"/>
      <c r="AB22" s="426"/>
      <c r="AC22" s="426"/>
      <c r="AD22" s="426"/>
      <c r="AE22" s="426"/>
      <c r="AF22" s="426"/>
      <c r="AG22" s="429"/>
      <c r="AH22" s="426"/>
      <c r="AI22" s="426"/>
      <c r="AJ22" s="426"/>
      <c r="AK22" s="426"/>
      <c r="AL22" s="426"/>
      <c r="AM22" s="426"/>
      <c r="AN22" s="426"/>
      <c r="AO22" s="426"/>
      <c r="AP22" s="426"/>
      <c r="AQ22" s="426"/>
    </row>
    <row r="23" spans="1:43">
      <c r="A23" s="322"/>
      <c r="B23" s="32"/>
      <c r="C23" s="321"/>
      <c r="D23" s="2"/>
      <c r="E23" s="2"/>
      <c r="F23" s="2"/>
      <c r="G23" s="2"/>
      <c r="H23" s="2"/>
      <c r="I23" s="321"/>
      <c r="J23" s="321"/>
      <c r="K23" s="2"/>
      <c r="L23" s="2"/>
      <c r="M23" s="2"/>
      <c r="N23" s="321"/>
      <c r="O23" s="321"/>
      <c r="P23" s="2"/>
      <c r="Q23" s="2"/>
      <c r="R23" s="321"/>
      <c r="S23" s="321"/>
      <c r="T23" s="321"/>
      <c r="U23" s="634"/>
      <c r="V23" s="634"/>
      <c r="W23" s="634"/>
      <c r="X23" s="634"/>
      <c r="Z23" s="108"/>
      <c r="AA23" s="108"/>
      <c r="AB23" s="108"/>
      <c r="AC23" s="108"/>
      <c r="AD23" s="108"/>
      <c r="AE23" s="108"/>
      <c r="AF23" s="108"/>
      <c r="AG23" s="430"/>
      <c r="AH23" s="108"/>
      <c r="AI23" s="108"/>
      <c r="AJ23" s="108"/>
      <c r="AK23" s="108"/>
      <c r="AL23" s="108"/>
      <c r="AM23" s="108"/>
      <c r="AN23" s="108"/>
      <c r="AO23" s="108"/>
      <c r="AP23" s="108"/>
      <c r="AQ23" s="108"/>
    </row>
    <row r="24" spans="1:43" s="1" customFormat="1">
      <c r="A24" s="322"/>
      <c r="B24" s="32"/>
      <c r="C24" s="321"/>
      <c r="D24" s="2"/>
      <c r="E24" s="2"/>
      <c r="F24" s="2"/>
      <c r="G24" s="2"/>
      <c r="H24" s="2"/>
      <c r="I24" s="321"/>
      <c r="J24" s="321"/>
      <c r="K24" s="2"/>
      <c r="L24" s="2"/>
      <c r="M24" s="2"/>
      <c r="N24" s="321"/>
      <c r="O24" s="321"/>
      <c r="P24" s="2"/>
      <c r="Q24" s="2"/>
      <c r="R24" s="321"/>
      <c r="S24" s="321"/>
      <c r="T24" s="321"/>
      <c r="U24" s="634"/>
      <c r="V24" s="634"/>
      <c r="W24" s="634"/>
      <c r="X24" s="634"/>
      <c r="Z24" s="427"/>
      <c r="AA24" s="427"/>
      <c r="AB24" s="427"/>
      <c r="AC24" s="427"/>
      <c r="AD24" s="427"/>
      <c r="AE24" s="427"/>
      <c r="AF24" s="427"/>
      <c r="AG24" s="431"/>
      <c r="AH24" s="427"/>
      <c r="AI24" s="427"/>
      <c r="AJ24" s="427"/>
      <c r="AK24" s="427"/>
      <c r="AL24" s="427"/>
      <c r="AM24" s="427"/>
      <c r="AN24" s="427"/>
      <c r="AO24" s="427"/>
      <c r="AP24" s="427"/>
      <c r="AQ24" s="427"/>
    </row>
    <row r="25" spans="1:43">
      <c r="A25" s="322"/>
      <c r="B25" s="382"/>
      <c r="C25" s="382"/>
      <c r="D25" s="383"/>
      <c r="E25" s="383"/>
      <c r="F25" s="383"/>
      <c r="G25" s="383"/>
      <c r="H25" s="383"/>
      <c r="I25" s="382"/>
      <c r="J25" s="382"/>
      <c r="K25" s="383"/>
      <c r="L25" s="383"/>
      <c r="M25" s="383"/>
      <c r="N25" s="382"/>
      <c r="O25" s="382"/>
      <c r="P25" s="383"/>
      <c r="Q25" s="383"/>
      <c r="R25" s="382"/>
      <c r="S25" s="382"/>
      <c r="T25" s="382"/>
      <c r="U25" s="636"/>
      <c r="V25" s="636"/>
      <c r="W25" s="636"/>
      <c r="X25" s="636"/>
      <c r="Z25" s="426"/>
      <c r="AA25" s="426"/>
      <c r="AB25" s="426"/>
      <c r="AC25" s="426"/>
      <c r="AD25" s="426"/>
      <c r="AE25" s="426"/>
      <c r="AF25" s="426"/>
      <c r="AG25" s="429"/>
      <c r="AH25" s="426"/>
      <c r="AI25" s="426"/>
      <c r="AJ25" s="426"/>
      <c r="AK25" s="426"/>
      <c r="AL25" s="426"/>
      <c r="AM25" s="426"/>
      <c r="AN25" s="426"/>
      <c r="AO25" s="426"/>
      <c r="AP25" s="426"/>
      <c r="AQ25" s="426"/>
    </row>
    <row r="26" spans="1:43" s="1" customFormat="1">
      <c r="A26" s="330"/>
      <c r="B26" s="417"/>
      <c r="C26" s="419"/>
      <c r="D26" s="599"/>
      <c r="E26" s="599"/>
      <c r="F26" s="599"/>
      <c r="G26" s="599"/>
      <c r="H26" s="599"/>
      <c r="I26" s="419"/>
      <c r="J26" s="419"/>
      <c r="K26" s="599"/>
      <c r="L26" s="599"/>
      <c r="M26" s="599"/>
      <c r="N26" s="419"/>
      <c r="O26" s="419"/>
      <c r="P26" s="599"/>
      <c r="Q26" s="599"/>
      <c r="R26" s="419"/>
      <c r="S26" s="419"/>
      <c r="T26" s="419"/>
      <c r="U26" s="637"/>
      <c r="V26" s="637"/>
      <c r="W26" s="637"/>
      <c r="X26" s="637"/>
      <c r="Z26" s="640"/>
      <c r="AA26" s="640"/>
      <c r="AB26" s="640"/>
      <c r="AC26" s="640"/>
      <c r="AD26" s="640"/>
      <c r="AE26" s="640"/>
      <c r="AF26" s="640"/>
      <c r="AG26" s="641"/>
      <c r="AH26" s="640"/>
      <c r="AI26" s="640"/>
      <c r="AJ26" s="640"/>
      <c r="AK26" s="640"/>
      <c r="AL26" s="640"/>
      <c r="AM26" s="640"/>
      <c r="AN26" s="640"/>
      <c r="AO26" s="640"/>
      <c r="AP26" s="640"/>
      <c r="AQ26" s="640"/>
    </row>
    <row r="27" spans="1:43">
      <c r="A27" s="329"/>
      <c r="B27" s="319"/>
      <c r="C27" s="323"/>
      <c r="D27" s="324"/>
      <c r="E27" s="324"/>
      <c r="F27" s="324"/>
      <c r="G27" s="324"/>
      <c r="H27" s="324"/>
      <c r="I27" s="323"/>
      <c r="J27" s="323"/>
      <c r="K27" s="324"/>
      <c r="L27" s="324"/>
      <c r="M27" s="324"/>
      <c r="N27" s="323"/>
      <c r="O27" s="323"/>
      <c r="P27" s="324"/>
      <c r="Q27" s="324"/>
      <c r="R27" s="323"/>
      <c r="S27" s="323"/>
      <c r="T27" s="323"/>
      <c r="U27" s="633"/>
      <c r="V27" s="633"/>
      <c r="W27" s="633"/>
      <c r="X27" s="633"/>
      <c r="Z27" s="427"/>
      <c r="AA27" s="427"/>
      <c r="AB27" s="427"/>
      <c r="AC27" s="427"/>
      <c r="AD27" s="427"/>
      <c r="AE27" s="427"/>
      <c r="AF27" s="427"/>
      <c r="AG27" s="431"/>
      <c r="AH27" s="427"/>
      <c r="AI27" s="427"/>
      <c r="AJ27" s="427"/>
      <c r="AK27" s="427"/>
      <c r="AL27" s="427"/>
      <c r="AM27" s="427"/>
      <c r="AN27" s="427"/>
      <c r="AO27" s="427"/>
      <c r="AP27" s="427"/>
      <c r="AQ27" s="427"/>
    </row>
    <row r="28" spans="1:43" s="1" customFormat="1">
      <c r="A28" s="322"/>
      <c r="B28" s="32"/>
      <c r="C28" s="321"/>
      <c r="D28" s="2"/>
      <c r="E28" s="2"/>
      <c r="F28" s="2"/>
      <c r="G28" s="2"/>
      <c r="H28" s="2"/>
      <c r="I28" s="321"/>
      <c r="J28" s="321"/>
      <c r="K28" s="2"/>
      <c r="L28" s="2"/>
      <c r="M28" s="2"/>
      <c r="N28" s="321"/>
      <c r="O28" s="321"/>
      <c r="P28" s="2"/>
      <c r="Q28" s="2"/>
      <c r="R28" s="321"/>
      <c r="S28" s="321"/>
      <c r="T28" s="321"/>
      <c r="U28" s="634"/>
      <c r="V28" s="634"/>
      <c r="W28" s="634"/>
      <c r="X28" s="634"/>
      <c r="Z28" s="108"/>
      <c r="AA28" s="108"/>
      <c r="AB28" s="108"/>
      <c r="AC28" s="108"/>
      <c r="AD28" s="108"/>
      <c r="AE28" s="108"/>
      <c r="AF28" s="108"/>
      <c r="AG28" s="430"/>
      <c r="AH28" s="108"/>
      <c r="AI28" s="108"/>
      <c r="AJ28" s="108"/>
      <c r="AK28" s="108"/>
      <c r="AL28" s="108"/>
      <c r="AM28" s="108"/>
      <c r="AN28" s="108"/>
      <c r="AO28" s="108"/>
      <c r="AP28" s="108"/>
      <c r="AQ28" s="108"/>
    </row>
    <row r="29" spans="1:43">
      <c r="A29" s="322"/>
      <c r="B29" s="369"/>
      <c r="C29" s="369"/>
      <c r="D29" s="370"/>
      <c r="E29" s="370"/>
      <c r="F29" s="370"/>
      <c r="G29" s="370"/>
      <c r="H29" s="370"/>
      <c r="I29" s="369"/>
      <c r="J29" s="369"/>
      <c r="K29" s="370"/>
      <c r="L29" s="370"/>
      <c r="M29" s="370"/>
      <c r="N29" s="369"/>
      <c r="O29" s="369"/>
      <c r="P29" s="370"/>
      <c r="Q29" s="370"/>
      <c r="R29" s="369"/>
      <c r="S29" s="369"/>
      <c r="T29" s="369"/>
      <c r="U29" s="635"/>
      <c r="V29" s="635"/>
      <c r="W29" s="635"/>
      <c r="X29" s="635"/>
      <c r="Z29" s="426"/>
      <c r="AA29" s="426"/>
      <c r="AB29" s="426"/>
      <c r="AC29" s="426"/>
      <c r="AD29" s="426"/>
      <c r="AE29" s="426"/>
      <c r="AF29" s="426"/>
      <c r="AG29" s="429"/>
      <c r="AH29" s="426"/>
      <c r="AI29" s="426"/>
      <c r="AJ29" s="426"/>
      <c r="AK29" s="426"/>
      <c r="AL29" s="426"/>
      <c r="AM29" s="426"/>
      <c r="AN29" s="426"/>
      <c r="AO29" s="426"/>
      <c r="AP29" s="426"/>
      <c r="AQ29" s="426"/>
    </row>
    <row r="30" spans="1:43" s="1" customFormat="1">
      <c r="A30" s="322"/>
      <c r="B30" s="32"/>
      <c r="C30" s="321"/>
      <c r="D30" s="2"/>
      <c r="E30" s="2"/>
      <c r="F30" s="2"/>
      <c r="G30" s="2"/>
      <c r="H30" s="2"/>
      <c r="I30" s="321"/>
      <c r="J30" s="321"/>
      <c r="K30" s="2"/>
      <c r="L30" s="2"/>
      <c r="M30" s="2"/>
      <c r="N30" s="321"/>
      <c r="O30" s="321"/>
      <c r="P30" s="2"/>
      <c r="Q30" s="2"/>
      <c r="R30" s="321"/>
      <c r="S30" s="321"/>
      <c r="T30" s="321"/>
      <c r="U30" s="634"/>
      <c r="V30" s="634"/>
      <c r="W30" s="634"/>
      <c r="X30" s="634"/>
      <c r="Z30" s="108"/>
      <c r="AA30" s="108"/>
      <c r="AB30" s="108"/>
      <c r="AC30" s="108"/>
      <c r="AD30" s="108"/>
      <c r="AE30" s="108"/>
      <c r="AF30" s="108"/>
      <c r="AG30" s="430"/>
      <c r="AH30" s="108"/>
      <c r="AI30" s="108"/>
      <c r="AJ30" s="108"/>
      <c r="AK30" s="108"/>
      <c r="AL30" s="108"/>
      <c r="AM30" s="108"/>
      <c r="AN30" s="108"/>
      <c r="AO30" s="108"/>
      <c r="AP30" s="108"/>
      <c r="AQ30" s="108"/>
    </row>
    <row r="31" spans="1:43">
      <c r="A31" s="322"/>
      <c r="B31" s="32"/>
      <c r="C31" s="321"/>
      <c r="D31" s="2"/>
      <c r="E31" s="2"/>
      <c r="F31" s="2"/>
      <c r="G31" s="2"/>
      <c r="H31" s="2"/>
      <c r="I31" s="321"/>
      <c r="J31" s="321"/>
      <c r="K31" s="2"/>
      <c r="L31" s="2"/>
      <c r="M31" s="2"/>
      <c r="N31" s="321"/>
      <c r="O31" s="321"/>
      <c r="P31" s="2"/>
      <c r="Q31" s="2"/>
      <c r="R31" s="321"/>
      <c r="S31" s="321"/>
      <c r="T31" s="321"/>
      <c r="U31" s="634"/>
      <c r="V31" s="634"/>
      <c r="W31" s="634"/>
      <c r="X31" s="634"/>
      <c r="Z31" s="427"/>
      <c r="AA31" s="427"/>
      <c r="AB31" s="427"/>
      <c r="AC31" s="427"/>
      <c r="AD31" s="427"/>
      <c r="AE31" s="427"/>
      <c r="AF31" s="427"/>
      <c r="AG31" s="431"/>
      <c r="AH31" s="427"/>
      <c r="AI31" s="427"/>
      <c r="AJ31" s="427"/>
      <c r="AK31" s="427"/>
      <c r="AL31" s="427"/>
      <c r="AM31" s="427"/>
      <c r="AN31" s="427"/>
      <c r="AO31" s="427"/>
      <c r="AP31" s="427"/>
      <c r="AQ31" s="427"/>
    </row>
    <row r="32" spans="1:43" s="1" customFormat="1">
      <c r="A32" s="322"/>
      <c r="B32" s="382"/>
      <c r="C32" s="382"/>
      <c r="D32" s="383"/>
      <c r="E32" s="383"/>
      <c r="F32" s="383"/>
      <c r="G32" s="383"/>
      <c r="H32" s="383"/>
      <c r="I32" s="382"/>
      <c r="J32" s="382"/>
      <c r="K32" s="383"/>
      <c r="L32" s="383"/>
      <c r="M32" s="383"/>
      <c r="N32" s="382"/>
      <c r="O32" s="382"/>
      <c r="P32" s="383"/>
      <c r="Q32" s="383"/>
      <c r="R32" s="382"/>
      <c r="S32" s="382"/>
      <c r="T32" s="382"/>
      <c r="U32" s="636"/>
      <c r="V32" s="636"/>
      <c r="W32" s="636"/>
      <c r="X32" s="636"/>
      <c r="Z32" s="426"/>
      <c r="AA32" s="426"/>
      <c r="AB32" s="426"/>
      <c r="AC32" s="426"/>
      <c r="AD32" s="426"/>
      <c r="AE32" s="426"/>
      <c r="AF32" s="426"/>
      <c r="AG32" s="429"/>
      <c r="AH32" s="426"/>
      <c r="AI32" s="426"/>
      <c r="AJ32" s="426"/>
      <c r="AK32" s="426"/>
      <c r="AL32" s="426"/>
      <c r="AM32" s="426"/>
      <c r="AN32" s="426"/>
      <c r="AO32" s="426"/>
      <c r="AP32" s="426"/>
      <c r="AQ32" s="426"/>
    </row>
    <row r="33" spans="1:43">
      <c r="A33" s="330"/>
      <c r="B33" s="417"/>
      <c r="C33" s="419"/>
      <c r="D33" s="599"/>
      <c r="E33" s="599"/>
      <c r="F33" s="599"/>
      <c r="G33" s="599"/>
      <c r="H33" s="599"/>
      <c r="I33" s="419"/>
      <c r="J33" s="419"/>
      <c r="K33" s="599"/>
      <c r="L33" s="599"/>
      <c r="M33" s="599"/>
      <c r="N33" s="419"/>
      <c r="O33" s="419"/>
      <c r="P33" s="599"/>
      <c r="Q33" s="599"/>
      <c r="R33" s="419"/>
      <c r="S33" s="419"/>
      <c r="T33" s="419"/>
      <c r="U33" s="637"/>
      <c r="V33" s="637"/>
      <c r="W33" s="637"/>
      <c r="X33" s="637"/>
      <c r="Z33" s="640"/>
      <c r="AA33" s="640"/>
      <c r="AB33" s="640"/>
      <c r="AC33" s="640"/>
      <c r="AD33" s="640"/>
      <c r="AE33" s="640"/>
      <c r="AF33" s="640"/>
      <c r="AG33" s="641"/>
      <c r="AH33" s="640"/>
      <c r="AI33" s="640"/>
      <c r="AJ33" s="640"/>
      <c r="AK33" s="640"/>
      <c r="AL33" s="640"/>
      <c r="AM33" s="640"/>
      <c r="AN33" s="640"/>
      <c r="AO33" s="640"/>
      <c r="AP33" s="640"/>
      <c r="AQ33" s="640"/>
    </row>
    <row r="34" spans="1:43" s="1" customFormat="1">
      <c r="A34" s="329"/>
      <c r="B34" s="319"/>
      <c r="C34" s="323"/>
      <c r="D34" s="324"/>
      <c r="E34" s="324"/>
      <c r="F34" s="324"/>
      <c r="G34" s="324"/>
      <c r="H34" s="324"/>
      <c r="I34" s="323"/>
      <c r="J34" s="323"/>
      <c r="K34" s="324"/>
      <c r="L34" s="324"/>
      <c r="M34" s="324"/>
      <c r="N34" s="323"/>
      <c r="O34" s="323"/>
      <c r="P34" s="324"/>
      <c r="Q34" s="324"/>
      <c r="R34" s="323"/>
      <c r="S34" s="323"/>
      <c r="T34" s="323"/>
      <c r="U34" s="633"/>
      <c r="V34" s="633"/>
      <c r="W34" s="633"/>
      <c r="X34" s="633"/>
      <c r="Z34" s="108"/>
      <c r="AA34" s="108"/>
      <c r="AB34" s="108"/>
      <c r="AC34" s="108"/>
      <c r="AD34" s="108"/>
      <c r="AE34" s="108"/>
      <c r="AF34" s="108"/>
      <c r="AG34" s="430"/>
      <c r="AH34" s="108"/>
      <c r="AI34" s="108"/>
      <c r="AJ34" s="108"/>
      <c r="AK34" s="108"/>
      <c r="AL34" s="108"/>
      <c r="AM34" s="108"/>
      <c r="AN34" s="108"/>
      <c r="AO34" s="108"/>
      <c r="AP34" s="108"/>
      <c r="AQ34" s="108"/>
    </row>
    <row r="35" spans="1:43">
      <c r="A35" s="322"/>
      <c r="B35" s="32"/>
      <c r="C35" s="321"/>
      <c r="D35" s="2"/>
      <c r="E35" s="2"/>
      <c r="F35" s="2"/>
      <c r="G35" s="2"/>
      <c r="H35" s="2"/>
      <c r="I35" s="321"/>
      <c r="J35" s="321"/>
      <c r="K35" s="2"/>
      <c r="L35" s="2"/>
      <c r="M35" s="2"/>
      <c r="N35" s="321"/>
      <c r="O35" s="321"/>
      <c r="P35" s="2"/>
      <c r="Q35" s="2"/>
      <c r="R35" s="321"/>
      <c r="S35" s="321"/>
      <c r="T35" s="321"/>
      <c r="U35" s="634"/>
      <c r="V35" s="634"/>
      <c r="W35" s="634"/>
      <c r="X35" s="634"/>
      <c r="Z35" s="427"/>
      <c r="AA35" s="427"/>
      <c r="AB35" s="427"/>
      <c r="AC35" s="427"/>
      <c r="AD35" s="427"/>
      <c r="AE35" s="427"/>
      <c r="AF35" s="427"/>
      <c r="AG35" s="431"/>
      <c r="AH35" s="427"/>
      <c r="AI35" s="427"/>
      <c r="AJ35" s="427"/>
      <c r="AK35" s="427"/>
      <c r="AL35" s="427"/>
      <c r="AM35" s="427"/>
      <c r="AN35" s="427"/>
      <c r="AO35" s="427"/>
      <c r="AP35" s="427"/>
      <c r="AQ35" s="427"/>
    </row>
    <row r="36" spans="1:43" s="1" customFormat="1">
      <c r="A36" s="322"/>
      <c r="B36" s="369"/>
      <c r="C36" s="369"/>
      <c r="D36" s="370"/>
      <c r="E36" s="370"/>
      <c r="F36" s="370"/>
      <c r="G36" s="370"/>
      <c r="H36" s="370"/>
      <c r="I36" s="369"/>
      <c r="J36" s="369"/>
      <c r="K36" s="370"/>
      <c r="L36" s="370"/>
      <c r="M36" s="370"/>
      <c r="N36" s="369"/>
      <c r="O36" s="369"/>
      <c r="P36" s="370"/>
      <c r="Q36" s="370"/>
      <c r="R36" s="369"/>
      <c r="S36" s="369"/>
      <c r="T36" s="369"/>
      <c r="U36" s="635"/>
      <c r="V36" s="635"/>
      <c r="W36" s="635"/>
      <c r="X36" s="635"/>
      <c r="Z36" s="426"/>
      <c r="AA36" s="426"/>
      <c r="AB36" s="426"/>
      <c r="AC36" s="426"/>
      <c r="AD36" s="426"/>
      <c r="AE36" s="426"/>
      <c r="AF36" s="426"/>
      <c r="AG36" s="429"/>
      <c r="AH36" s="426"/>
      <c r="AI36" s="426"/>
      <c r="AJ36" s="426"/>
      <c r="AK36" s="426"/>
      <c r="AL36" s="426"/>
      <c r="AM36" s="426"/>
      <c r="AN36" s="426"/>
      <c r="AO36" s="426"/>
      <c r="AP36" s="426"/>
      <c r="AQ36" s="426"/>
    </row>
    <row r="37" spans="1:43">
      <c r="A37" s="322"/>
      <c r="B37" s="32"/>
      <c r="C37" s="321"/>
      <c r="D37" s="2"/>
      <c r="E37" s="2"/>
      <c r="F37" s="2"/>
      <c r="G37" s="2"/>
      <c r="H37" s="2"/>
      <c r="I37" s="321"/>
      <c r="J37" s="321"/>
      <c r="K37" s="2"/>
      <c r="L37" s="2"/>
      <c r="M37" s="2"/>
      <c r="N37" s="321"/>
      <c r="O37" s="321"/>
      <c r="P37" s="2"/>
      <c r="Q37" s="2"/>
      <c r="R37" s="321"/>
      <c r="S37" s="321"/>
      <c r="T37" s="321"/>
      <c r="U37" s="634"/>
      <c r="V37" s="634"/>
      <c r="W37" s="634"/>
      <c r="X37" s="634"/>
      <c r="Z37" s="108"/>
      <c r="AA37" s="108"/>
      <c r="AB37" s="108"/>
      <c r="AC37" s="108"/>
      <c r="AD37" s="108"/>
      <c r="AE37" s="108"/>
      <c r="AF37" s="108"/>
      <c r="AG37" s="430"/>
      <c r="AH37" s="108"/>
      <c r="AI37" s="108"/>
      <c r="AJ37" s="108"/>
      <c r="AK37" s="108"/>
      <c r="AL37" s="108"/>
      <c r="AM37" s="108"/>
      <c r="AN37" s="108"/>
      <c r="AO37" s="108"/>
      <c r="AP37" s="108"/>
      <c r="AQ37" s="108"/>
    </row>
    <row r="38" spans="1:43" s="1" customFormat="1">
      <c r="A38" s="322"/>
      <c r="B38" s="32"/>
      <c r="C38" s="321"/>
      <c r="D38" s="2"/>
      <c r="E38" s="2"/>
      <c r="F38" s="2"/>
      <c r="G38" s="2"/>
      <c r="H38" s="2"/>
      <c r="I38" s="321"/>
      <c r="J38" s="321"/>
      <c r="K38" s="2"/>
      <c r="L38" s="2"/>
      <c r="M38" s="2"/>
      <c r="N38" s="321"/>
      <c r="O38" s="321"/>
      <c r="P38" s="2"/>
      <c r="Q38" s="2"/>
      <c r="R38" s="321"/>
      <c r="S38" s="321"/>
      <c r="T38" s="321"/>
      <c r="U38" s="634"/>
      <c r="V38" s="634"/>
      <c r="W38" s="634"/>
      <c r="X38" s="634"/>
      <c r="Z38" s="427"/>
      <c r="AA38" s="427"/>
      <c r="AB38" s="427"/>
      <c r="AC38" s="427"/>
      <c r="AD38" s="427"/>
      <c r="AE38" s="427"/>
      <c r="AF38" s="427"/>
      <c r="AG38" s="431"/>
      <c r="AH38" s="427"/>
      <c r="AI38" s="427"/>
      <c r="AJ38" s="427"/>
      <c r="AK38" s="427"/>
      <c r="AL38" s="427"/>
      <c r="AM38" s="427"/>
      <c r="AN38" s="427"/>
      <c r="AO38" s="427"/>
      <c r="AP38" s="427"/>
      <c r="AQ38" s="427"/>
    </row>
    <row r="39" spans="1:43">
      <c r="A39" s="322"/>
      <c r="B39" s="382"/>
      <c r="C39" s="382"/>
      <c r="D39" s="383"/>
      <c r="E39" s="383"/>
      <c r="F39" s="383"/>
      <c r="G39" s="383"/>
      <c r="H39" s="383"/>
      <c r="I39" s="382"/>
      <c r="J39" s="382"/>
      <c r="K39" s="383"/>
      <c r="L39" s="383"/>
      <c r="M39" s="383"/>
      <c r="N39" s="382"/>
      <c r="O39" s="382"/>
      <c r="P39" s="383"/>
      <c r="Q39" s="383"/>
      <c r="R39" s="382"/>
      <c r="S39" s="382"/>
      <c r="T39" s="382"/>
      <c r="U39" s="636"/>
      <c r="V39" s="636"/>
      <c r="W39" s="636"/>
      <c r="X39" s="636"/>
      <c r="Z39" s="426"/>
      <c r="AA39" s="426"/>
      <c r="AB39" s="426"/>
      <c r="AC39" s="426"/>
      <c r="AD39" s="426"/>
      <c r="AE39" s="426"/>
      <c r="AF39" s="426"/>
      <c r="AG39" s="429"/>
      <c r="AH39" s="426"/>
      <c r="AI39" s="426"/>
      <c r="AJ39" s="426"/>
      <c r="AK39" s="426"/>
      <c r="AL39" s="426"/>
      <c r="AM39" s="426"/>
      <c r="AN39" s="426"/>
      <c r="AO39" s="426"/>
      <c r="AP39" s="426"/>
      <c r="AQ39" s="426"/>
    </row>
    <row r="40" spans="1:43" s="1" customFormat="1">
      <c r="A40" s="330"/>
      <c r="B40" s="417"/>
      <c r="C40" s="419"/>
      <c r="D40" s="599"/>
      <c r="E40" s="599"/>
      <c r="F40" s="599"/>
      <c r="G40" s="599"/>
      <c r="H40" s="599"/>
      <c r="I40" s="419"/>
      <c r="J40" s="419"/>
      <c r="K40" s="599"/>
      <c r="L40" s="599"/>
      <c r="M40" s="599"/>
      <c r="N40" s="419"/>
      <c r="O40" s="419"/>
      <c r="P40" s="599"/>
      <c r="Q40" s="599"/>
      <c r="R40" s="419"/>
      <c r="S40" s="419"/>
      <c r="T40" s="419"/>
      <c r="U40" s="637"/>
      <c r="V40" s="637"/>
      <c r="W40" s="637"/>
      <c r="X40" s="637"/>
      <c r="Z40" s="640"/>
      <c r="AA40" s="640"/>
      <c r="AB40" s="640"/>
      <c r="AC40" s="640"/>
      <c r="AD40" s="640"/>
      <c r="AE40" s="640"/>
      <c r="AF40" s="640"/>
      <c r="AG40" s="641"/>
      <c r="AH40" s="640"/>
      <c r="AI40" s="640"/>
      <c r="AJ40" s="640"/>
      <c r="AK40" s="640"/>
      <c r="AL40" s="640"/>
      <c r="AM40" s="640"/>
      <c r="AN40" s="640"/>
      <c r="AO40" s="640"/>
      <c r="AP40" s="640"/>
      <c r="AQ40" s="640"/>
    </row>
    <row r="41" spans="1:43">
      <c r="A41" s="329"/>
      <c r="B41" s="319"/>
      <c r="C41" s="323"/>
      <c r="D41" s="324"/>
      <c r="E41" s="324"/>
      <c r="F41" s="324"/>
      <c r="G41" s="324"/>
      <c r="H41" s="324"/>
      <c r="I41" s="323"/>
      <c r="J41" s="323"/>
      <c r="K41" s="324"/>
      <c r="L41" s="324"/>
      <c r="M41" s="324"/>
      <c r="N41" s="323"/>
      <c r="O41" s="323"/>
      <c r="P41" s="324"/>
      <c r="Q41" s="324"/>
      <c r="R41" s="323"/>
      <c r="S41" s="323"/>
      <c r="T41" s="323"/>
      <c r="U41" s="633"/>
      <c r="V41" s="633"/>
      <c r="W41" s="633"/>
      <c r="X41" s="633"/>
      <c r="Z41" s="427"/>
      <c r="AA41" s="427"/>
      <c r="AB41" s="427"/>
      <c r="AC41" s="427"/>
      <c r="AD41" s="427"/>
      <c r="AE41" s="427"/>
      <c r="AF41" s="427"/>
      <c r="AG41" s="431"/>
      <c r="AH41" s="427"/>
      <c r="AI41" s="427"/>
      <c r="AJ41" s="427"/>
      <c r="AK41" s="427"/>
      <c r="AL41" s="427"/>
      <c r="AM41" s="427"/>
      <c r="AN41" s="427"/>
      <c r="AO41" s="427"/>
      <c r="AP41" s="427"/>
      <c r="AQ41" s="427"/>
    </row>
    <row r="42" spans="1:43" s="1" customFormat="1">
      <c r="A42" s="322"/>
      <c r="B42" s="32"/>
      <c r="C42" s="321"/>
      <c r="D42" s="2"/>
      <c r="E42" s="2"/>
      <c r="F42" s="2"/>
      <c r="G42" s="2"/>
      <c r="H42" s="2"/>
      <c r="I42" s="321"/>
      <c r="J42" s="321"/>
      <c r="K42" s="2"/>
      <c r="L42" s="2"/>
      <c r="M42" s="2"/>
      <c r="N42" s="321"/>
      <c r="O42" s="321"/>
      <c r="P42" s="2"/>
      <c r="Q42" s="2"/>
      <c r="R42" s="321"/>
      <c r="S42" s="321"/>
      <c r="T42" s="321"/>
      <c r="U42" s="634"/>
      <c r="V42" s="634"/>
      <c r="W42" s="634"/>
      <c r="X42" s="634"/>
      <c r="Z42" s="108"/>
      <c r="AA42" s="108"/>
      <c r="AB42" s="108"/>
      <c r="AC42" s="108"/>
      <c r="AD42" s="108"/>
      <c r="AE42" s="108"/>
      <c r="AF42" s="108"/>
      <c r="AG42" s="430"/>
      <c r="AH42" s="108"/>
      <c r="AI42" s="108"/>
      <c r="AJ42" s="108"/>
      <c r="AK42" s="108"/>
      <c r="AL42" s="108"/>
      <c r="AM42" s="108"/>
      <c r="AN42" s="108"/>
      <c r="AO42" s="108"/>
      <c r="AP42" s="108"/>
      <c r="AQ42" s="108"/>
    </row>
    <row r="43" spans="1:43">
      <c r="A43" s="322"/>
      <c r="B43" s="369"/>
      <c r="C43" s="369"/>
      <c r="D43" s="370"/>
      <c r="E43" s="370"/>
      <c r="F43" s="370"/>
      <c r="G43" s="370"/>
      <c r="H43" s="370"/>
      <c r="I43" s="369"/>
      <c r="J43" s="369"/>
      <c r="K43" s="370"/>
      <c r="L43" s="370"/>
      <c r="M43" s="370"/>
      <c r="N43" s="369"/>
      <c r="O43" s="369"/>
      <c r="P43" s="370"/>
      <c r="Q43" s="370"/>
      <c r="R43" s="369"/>
      <c r="S43" s="369"/>
      <c r="T43" s="369"/>
      <c r="U43" s="635"/>
      <c r="V43" s="635"/>
      <c r="W43" s="635"/>
      <c r="X43" s="635"/>
      <c r="Z43" s="426"/>
      <c r="AA43" s="426"/>
      <c r="AB43" s="426"/>
      <c r="AC43" s="426"/>
      <c r="AD43" s="426"/>
      <c r="AE43" s="426"/>
      <c r="AF43" s="426"/>
      <c r="AG43" s="429"/>
      <c r="AH43" s="426"/>
      <c r="AI43" s="426"/>
      <c r="AJ43" s="426"/>
      <c r="AK43" s="426"/>
      <c r="AL43" s="426"/>
      <c r="AM43" s="426"/>
      <c r="AN43" s="426"/>
      <c r="AO43" s="426"/>
      <c r="AP43" s="426"/>
      <c r="AQ43" s="426"/>
    </row>
    <row r="44" spans="1:43" s="1" customFormat="1">
      <c r="A44" s="322"/>
      <c r="B44" s="32"/>
      <c r="C44" s="321"/>
      <c r="D44" s="2"/>
      <c r="E44" s="2"/>
      <c r="F44" s="2"/>
      <c r="G44" s="2"/>
      <c r="H44" s="2"/>
      <c r="I44" s="321"/>
      <c r="J44" s="321"/>
      <c r="K44" s="2"/>
      <c r="L44" s="2"/>
      <c r="M44" s="2"/>
      <c r="N44" s="321"/>
      <c r="O44" s="321"/>
      <c r="P44" s="2"/>
      <c r="Q44" s="2"/>
      <c r="R44" s="321"/>
      <c r="S44" s="321"/>
      <c r="T44" s="321"/>
      <c r="U44" s="634"/>
      <c r="V44" s="634"/>
      <c r="W44" s="634"/>
      <c r="X44" s="634"/>
      <c r="Z44" s="108"/>
      <c r="AA44" s="108"/>
      <c r="AB44" s="108"/>
      <c r="AC44" s="108"/>
      <c r="AD44" s="108"/>
      <c r="AE44" s="108"/>
      <c r="AF44" s="108"/>
      <c r="AG44" s="430"/>
      <c r="AH44" s="108"/>
      <c r="AI44" s="108"/>
      <c r="AJ44" s="108"/>
      <c r="AK44" s="108"/>
      <c r="AL44" s="108"/>
      <c r="AM44" s="108"/>
      <c r="AN44" s="108"/>
      <c r="AO44" s="108"/>
      <c r="AP44" s="108"/>
      <c r="AQ44" s="108"/>
    </row>
    <row r="45" spans="1:43">
      <c r="A45" s="322"/>
      <c r="B45" s="32"/>
      <c r="C45" s="321"/>
      <c r="D45" s="2"/>
      <c r="E45" s="2"/>
      <c r="F45" s="2"/>
      <c r="G45" s="2"/>
      <c r="H45" s="2"/>
      <c r="I45" s="321"/>
      <c r="J45" s="321"/>
      <c r="K45" s="2"/>
      <c r="L45" s="2"/>
      <c r="M45" s="2"/>
      <c r="N45" s="321"/>
      <c r="O45" s="321"/>
      <c r="P45" s="2"/>
      <c r="Q45" s="2"/>
      <c r="R45" s="321"/>
      <c r="S45" s="321"/>
      <c r="T45" s="321"/>
      <c r="U45" s="634"/>
      <c r="V45" s="634"/>
      <c r="W45" s="634"/>
      <c r="X45" s="634"/>
      <c r="Z45" s="427"/>
      <c r="AA45" s="427"/>
      <c r="AB45" s="427"/>
      <c r="AC45" s="427"/>
      <c r="AD45" s="427"/>
      <c r="AE45" s="427"/>
      <c r="AF45" s="427"/>
      <c r="AG45" s="431"/>
      <c r="AH45" s="427"/>
      <c r="AI45" s="427"/>
      <c r="AJ45" s="427"/>
      <c r="AK45" s="427"/>
      <c r="AL45" s="427"/>
      <c r="AM45" s="427"/>
      <c r="AN45" s="427"/>
      <c r="AO45" s="427"/>
      <c r="AP45" s="427"/>
      <c r="AQ45" s="427"/>
    </row>
    <row r="46" spans="1:43" s="1" customFormat="1">
      <c r="A46" s="322"/>
      <c r="B46" s="382"/>
      <c r="C46" s="382"/>
      <c r="D46" s="383"/>
      <c r="E46" s="383"/>
      <c r="F46" s="383"/>
      <c r="G46" s="383"/>
      <c r="H46" s="383"/>
      <c r="I46" s="382"/>
      <c r="J46" s="382"/>
      <c r="K46" s="383"/>
      <c r="L46" s="383"/>
      <c r="M46" s="383"/>
      <c r="N46" s="382"/>
      <c r="O46" s="382"/>
      <c r="P46" s="383"/>
      <c r="Q46" s="383"/>
      <c r="R46" s="382"/>
      <c r="S46" s="382"/>
      <c r="T46" s="382"/>
      <c r="U46" s="636"/>
      <c r="V46" s="636"/>
      <c r="W46" s="636"/>
      <c r="X46" s="636"/>
      <c r="Z46" s="426"/>
      <c r="AA46" s="426"/>
      <c r="AB46" s="426"/>
      <c r="AC46" s="426"/>
      <c r="AD46" s="426"/>
      <c r="AE46" s="426"/>
      <c r="AF46" s="426"/>
      <c r="AG46" s="429"/>
      <c r="AH46" s="426"/>
      <c r="AI46" s="426"/>
      <c r="AJ46" s="426"/>
      <c r="AK46" s="426"/>
      <c r="AL46" s="426"/>
      <c r="AM46" s="426"/>
      <c r="AN46" s="426"/>
      <c r="AO46" s="426"/>
      <c r="AP46" s="426"/>
      <c r="AQ46" s="426"/>
    </row>
    <row r="47" spans="1:43">
      <c r="A47" s="330"/>
      <c r="B47" s="417"/>
      <c r="C47" s="419"/>
      <c r="D47" s="599"/>
      <c r="E47" s="599"/>
      <c r="F47" s="599"/>
      <c r="G47" s="599"/>
      <c r="H47" s="599"/>
      <c r="I47" s="419"/>
      <c r="J47" s="419"/>
      <c r="K47" s="599"/>
      <c r="L47" s="599"/>
      <c r="M47" s="599"/>
      <c r="N47" s="419"/>
      <c r="O47" s="645"/>
      <c r="P47" s="599"/>
      <c r="Q47" s="599"/>
      <c r="R47" s="419"/>
      <c r="S47" s="419"/>
      <c r="T47" s="419"/>
      <c r="U47" s="637"/>
      <c r="V47" s="637"/>
      <c r="W47" s="637"/>
      <c r="X47" s="637"/>
      <c r="Z47" s="640"/>
      <c r="AA47" s="640"/>
      <c r="AB47" s="640"/>
      <c r="AC47" s="640"/>
      <c r="AD47" s="640"/>
      <c r="AE47" s="640"/>
      <c r="AF47" s="640"/>
      <c r="AG47" s="641"/>
      <c r="AH47" s="640"/>
      <c r="AI47" s="640"/>
      <c r="AJ47" s="640"/>
      <c r="AK47" s="640"/>
      <c r="AL47" s="640"/>
      <c r="AM47" s="640"/>
      <c r="AN47" s="640"/>
      <c r="AO47" s="640"/>
      <c r="AP47" s="640"/>
      <c r="AQ47" s="640"/>
    </row>
    <row r="48" spans="1:43" s="1" customFormat="1">
      <c r="A48" s="329"/>
      <c r="B48" s="319"/>
      <c r="C48" s="323"/>
      <c r="D48" s="324"/>
      <c r="E48" s="324"/>
      <c r="F48" s="324"/>
      <c r="G48" s="324"/>
      <c r="H48" s="324"/>
      <c r="I48" s="323"/>
      <c r="J48" s="323"/>
      <c r="K48" s="324"/>
      <c r="L48" s="324"/>
      <c r="M48" s="324"/>
      <c r="N48" s="323"/>
      <c r="O48" s="321"/>
      <c r="P48" s="324"/>
      <c r="Q48" s="324"/>
      <c r="R48" s="323"/>
      <c r="S48" s="323"/>
      <c r="T48" s="323"/>
      <c r="U48" s="633"/>
      <c r="V48" s="633"/>
      <c r="W48" s="633"/>
      <c r="X48" s="633"/>
      <c r="Z48" s="108"/>
      <c r="AA48" s="108"/>
      <c r="AB48" s="108"/>
      <c r="AC48" s="108"/>
      <c r="AD48" s="108"/>
      <c r="AE48" s="108"/>
      <c r="AF48" s="108"/>
      <c r="AG48" s="430"/>
      <c r="AH48" s="108"/>
      <c r="AI48" s="108"/>
      <c r="AJ48" s="108"/>
      <c r="AK48" s="108"/>
      <c r="AL48" s="108"/>
      <c r="AM48" s="108"/>
      <c r="AN48" s="108"/>
      <c r="AO48" s="108"/>
      <c r="AP48" s="108"/>
      <c r="AQ48" s="108"/>
    </row>
    <row r="49" spans="1:43">
      <c r="A49" s="322"/>
      <c r="B49" s="32"/>
      <c r="C49" s="321"/>
      <c r="D49" s="2"/>
      <c r="E49" s="2"/>
      <c r="F49" s="2"/>
      <c r="G49" s="2"/>
      <c r="H49" s="2"/>
      <c r="I49" s="321"/>
      <c r="J49" s="321"/>
      <c r="K49" s="2"/>
      <c r="L49" s="2"/>
      <c r="M49" s="2"/>
      <c r="N49" s="321"/>
      <c r="O49" s="321"/>
      <c r="P49" s="2"/>
      <c r="Q49" s="2"/>
      <c r="R49" s="321"/>
      <c r="S49" s="321"/>
      <c r="T49" s="321"/>
      <c r="U49" s="634"/>
      <c r="V49" s="634"/>
      <c r="W49" s="634"/>
      <c r="X49" s="634"/>
      <c r="Z49" s="427"/>
      <c r="AA49" s="427"/>
      <c r="AB49" s="427"/>
      <c r="AC49" s="427"/>
      <c r="AD49" s="427"/>
      <c r="AE49" s="427"/>
      <c r="AF49" s="427"/>
      <c r="AG49" s="431"/>
      <c r="AH49" s="427"/>
      <c r="AI49" s="427"/>
      <c r="AJ49" s="427"/>
      <c r="AK49" s="427"/>
      <c r="AL49" s="427"/>
      <c r="AM49" s="427"/>
      <c r="AN49" s="427"/>
      <c r="AO49" s="427"/>
      <c r="AP49" s="427"/>
      <c r="AQ49" s="427"/>
    </row>
    <row r="50" spans="1:43" s="1" customFormat="1">
      <c r="A50" s="322"/>
      <c r="B50" s="369"/>
      <c r="C50" s="369"/>
      <c r="D50" s="370"/>
      <c r="E50" s="370"/>
      <c r="F50" s="370"/>
      <c r="G50" s="370"/>
      <c r="H50" s="370"/>
      <c r="I50" s="369"/>
      <c r="J50" s="369"/>
      <c r="K50" s="370"/>
      <c r="L50" s="370"/>
      <c r="M50" s="370"/>
      <c r="N50" s="369"/>
      <c r="O50" s="369"/>
      <c r="P50" s="370"/>
      <c r="Q50" s="370"/>
      <c r="R50" s="369"/>
      <c r="S50" s="369"/>
      <c r="T50" s="369"/>
      <c r="U50" s="635"/>
      <c r="V50" s="635"/>
      <c r="W50" s="635"/>
      <c r="X50" s="635"/>
      <c r="Z50" s="426"/>
      <c r="AA50" s="426"/>
      <c r="AB50" s="426"/>
      <c r="AC50" s="426"/>
      <c r="AD50" s="426"/>
      <c r="AE50" s="426"/>
      <c r="AF50" s="426"/>
      <c r="AG50" s="429"/>
      <c r="AH50" s="426"/>
      <c r="AI50" s="426"/>
      <c r="AJ50" s="426"/>
      <c r="AK50" s="426"/>
      <c r="AL50" s="426"/>
      <c r="AM50" s="426"/>
      <c r="AN50" s="426"/>
      <c r="AO50" s="426"/>
      <c r="AP50" s="426"/>
      <c r="AQ50" s="426"/>
    </row>
    <row r="51" spans="1:43">
      <c r="A51" s="322"/>
      <c r="B51" s="32"/>
      <c r="C51" s="321"/>
      <c r="D51" s="2"/>
      <c r="E51" s="2"/>
      <c r="F51" s="2"/>
      <c r="G51" s="2"/>
      <c r="H51" s="2"/>
      <c r="I51" s="321"/>
      <c r="J51" s="321"/>
      <c r="K51" s="2"/>
      <c r="L51" s="2"/>
      <c r="M51" s="2"/>
      <c r="N51" s="321"/>
      <c r="O51" s="321"/>
      <c r="P51" s="2"/>
      <c r="Q51" s="2"/>
      <c r="R51" s="321"/>
      <c r="S51" s="321"/>
      <c r="T51" s="321"/>
      <c r="U51" s="634"/>
      <c r="V51" s="634"/>
      <c r="W51" s="634"/>
      <c r="X51" s="634"/>
      <c r="Z51" s="108"/>
      <c r="AA51" s="108"/>
      <c r="AB51" s="108"/>
      <c r="AC51" s="108"/>
      <c r="AD51" s="108"/>
      <c r="AE51" s="108"/>
      <c r="AF51" s="108"/>
      <c r="AG51" s="430"/>
      <c r="AH51" s="108"/>
      <c r="AI51" s="108"/>
      <c r="AJ51" s="108"/>
      <c r="AK51" s="108"/>
      <c r="AL51" s="108"/>
      <c r="AM51" s="108"/>
      <c r="AN51" s="108"/>
      <c r="AO51" s="108"/>
      <c r="AP51" s="108"/>
      <c r="AQ51" s="108"/>
    </row>
    <row r="52" spans="1:43" s="1" customFormat="1">
      <c r="A52" s="322"/>
      <c r="B52" s="32"/>
      <c r="C52" s="321"/>
      <c r="D52" s="2"/>
      <c r="E52" s="2"/>
      <c r="F52" s="2"/>
      <c r="G52" s="2"/>
      <c r="H52" s="2"/>
      <c r="I52" s="321"/>
      <c r="J52" s="321"/>
      <c r="K52" s="2"/>
      <c r="L52" s="2"/>
      <c r="M52" s="2"/>
      <c r="N52" s="321"/>
      <c r="O52" s="321"/>
      <c r="P52" s="2"/>
      <c r="Q52" s="2"/>
      <c r="R52" s="321"/>
      <c r="S52" s="321"/>
      <c r="T52" s="321"/>
      <c r="U52" s="634"/>
      <c r="V52" s="634"/>
      <c r="W52" s="634"/>
      <c r="X52" s="634"/>
      <c r="Z52" s="427"/>
      <c r="AA52" s="427"/>
      <c r="AB52" s="427"/>
      <c r="AC52" s="427"/>
      <c r="AD52" s="427"/>
      <c r="AE52" s="427"/>
      <c r="AF52" s="427"/>
      <c r="AG52" s="431"/>
      <c r="AH52" s="427"/>
      <c r="AI52" s="427"/>
      <c r="AJ52" s="427"/>
      <c r="AK52" s="427"/>
      <c r="AL52" s="427"/>
      <c r="AM52" s="427"/>
      <c r="AN52" s="427"/>
      <c r="AO52" s="427"/>
      <c r="AP52" s="427"/>
      <c r="AQ52" s="427"/>
    </row>
    <row r="53" spans="1:43">
      <c r="A53" s="322"/>
      <c r="B53" s="382"/>
      <c r="C53" s="382"/>
      <c r="D53" s="383"/>
      <c r="E53" s="383"/>
      <c r="F53" s="383"/>
      <c r="G53" s="383"/>
      <c r="H53" s="383"/>
      <c r="I53" s="382"/>
      <c r="J53" s="382"/>
      <c r="K53" s="383"/>
      <c r="L53" s="383"/>
      <c r="M53" s="383"/>
      <c r="N53" s="382"/>
      <c r="O53" s="382"/>
      <c r="P53" s="383"/>
      <c r="Q53" s="383"/>
      <c r="R53" s="382"/>
      <c r="S53" s="382"/>
      <c r="T53" s="382"/>
      <c r="U53" s="636"/>
      <c r="V53" s="636"/>
      <c r="W53" s="636"/>
      <c r="X53" s="636"/>
      <c r="Z53" s="426"/>
      <c r="AA53" s="426"/>
      <c r="AB53" s="426"/>
      <c r="AC53" s="426"/>
      <c r="AD53" s="426"/>
      <c r="AE53" s="426"/>
      <c r="AF53" s="426"/>
      <c r="AG53" s="429"/>
      <c r="AH53" s="426"/>
      <c r="AI53" s="426"/>
      <c r="AJ53" s="426"/>
      <c r="AK53" s="426"/>
      <c r="AL53" s="426"/>
      <c r="AM53" s="426"/>
      <c r="AN53" s="426"/>
      <c r="AO53" s="426"/>
      <c r="AP53" s="426"/>
      <c r="AQ53" s="426"/>
    </row>
    <row r="54" spans="1:43" s="1" customFormat="1">
      <c r="A54" s="330"/>
      <c r="B54" s="417"/>
      <c r="C54" s="419"/>
      <c r="D54" s="599"/>
      <c r="E54" s="599"/>
      <c r="F54" s="599"/>
      <c r="G54" s="599"/>
      <c r="H54" s="599"/>
      <c r="I54" s="419"/>
      <c r="J54" s="645"/>
      <c r="K54" s="599"/>
      <c r="L54" s="599"/>
      <c r="M54" s="599"/>
      <c r="N54" s="419"/>
      <c r="O54" s="419"/>
      <c r="P54" s="599"/>
      <c r="Q54" s="645"/>
      <c r="R54" s="419"/>
      <c r="S54" s="419"/>
      <c r="T54" s="419"/>
      <c r="U54" s="637"/>
      <c r="V54" s="637"/>
      <c r="W54" s="637"/>
      <c r="X54" s="637"/>
      <c r="Z54" s="640"/>
      <c r="AA54" s="640"/>
      <c r="AB54" s="640"/>
      <c r="AC54" s="640"/>
      <c r="AD54" s="640"/>
      <c r="AE54" s="640"/>
      <c r="AF54" s="640"/>
      <c r="AG54" s="641"/>
      <c r="AH54" s="640"/>
      <c r="AI54" s="640"/>
      <c r="AJ54" s="640"/>
      <c r="AK54" s="640"/>
      <c r="AL54" s="640"/>
      <c r="AM54" s="640"/>
      <c r="AN54" s="640"/>
      <c r="AO54" s="640"/>
      <c r="AP54" s="640"/>
      <c r="AQ54" s="640"/>
    </row>
    <row r="55" spans="1:43">
      <c r="A55" s="329"/>
      <c r="B55" s="319"/>
      <c r="C55" s="323"/>
      <c r="D55" s="324"/>
      <c r="E55" s="324"/>
      <c r="F55" s="324"/>
      <c r="G55" s="324"/>
      <c r="H55" s="324"/>
      <c r="I55" s="323"/>
      <c r="J55" s="323"/>
      <c r="K55" s="324"/>
      <c r="L55" s="324"/>
      <c r="M55" s="324"/>
      <c r="N55" s="323"/>
      <c r="O55" s="323"/>
      <c r="P55" s="324"/>
      <c r="Q55" s="324"/>
      <c r="R55" s="323"/>
      <c r="S55" s="323"/>
      <c r="T55" s="323"/>
      <c r="U55" s="633"/>
      <c r="V55" s="633"/>
      <c r="W55" s="633"/>
      <c r="X55" s="633"/>
      <c r="Z55" s="427"/>
      <c r="AA55" s="427"/>
      <c r="AB55" s="427"/>
      <c r="AC55" s="427"/>
      <c r="AD55" s="427"/>
      <c r="AE55" s="427"/>
      <c r="AF55" s="427"/>
      <c r="AG55" s="431"/>
      <c r="AH55" s="427"/>
      <c r="AI55" s="427"/>
      <c r="AJ55" s="427"/>
      <c r="AK55" s="427"/>
      <c r="AL55" s="427"/>
      <c r="AM55" s="427"/>
      <c r="AN55" s="427"/>
      <c r="AO55" s="427"/>
      <c r="AP55" s="427"/>
      <c r="AQ55" s="427"/>
    </row>
    <row r="56" spans="1:43" s="1" customFormat="1">
      <c r="A56" s="322"/>
      <c r="B56" s="32"/>
      <c r="C56" s="321"/>
      <c r="D56" s="2"/>
      <c r="E56" s="2"/>
      <c r="F56" s="2"/>
      <c r="G56" s="2"/>
      <c r="H56" s="2"/>
      <c r="I56" s="321"/>
      <c r="J56" s="321"/>
      <c r="K56" s="2"/>
      <c r="L56" s="2"/>
      <c r="M56" s="2"/>
      <c r="N56" s="321"/>
      <c r="O56" s="321"/>
      <c r="P56" s="2"/>
      <c r="Q56" s="2"/>
      <c r="R56" s="321"/>
      <c r="S56" s="321"/>
      <c r="T56" s="321"/>
      <c r="U56" s="634"/>
      <c r="V56" s="634"/>
      <c r="W56" s="634"/>
      <c r="X56" s="634"/>
      <c r="Z56" s="108"/>
      <c r="AA56" s="108"/>
      <c r="AB56" s="108"/>
      <c r="AC56" s="108"/>
      <c r="AD56" s="108"/>
      <c r="AE56" s="108"/>
      <c r="AF56" s="108"/>
      <c r="AG56" s="430"/>
      <c r="AH56" s="108"/>
      <c r="AI56" s="108"/>
      <c r="AJ56" s="108"/>
      <c r="AK56" s="108"/>
      <c r="AL56" s="108"/>
      <c r="AM56" s="108"/>
      <c r="AN56" s="108"/>
      <c r="AO56" s="108"/>
      <c r="AP56" s="108"/>
      <c r="AQ56" s="108"/>
    </row>
    <row r="57" spans="1:43">
      <c r="A57" s="322"/>
      <c r="B57" s="369"/>
      <c r="C57" s="369"/>
      <c r="D57" s="370"/>
      <c r="E57" s="370"/>
      <c r="F57" s="370"/>
      <c r="G57" s="370"/>
      <c r="H57" s="370"/>
      <c r="I57" s="369"/>
      <c r="J57" s="369"/>
      <c r="K57" s="370"/>
      <c r="L57" s="370"/>
      <c r="M57" s="370"/>
      <c r="N57" s="369"/>
      <c r="O57" s="369"/>
      <c r="P57" s="370"/>
      <c r="Q57" s="370"/>
      <c r="R57" s="369"/>
      <c r="S57" s="369"/>
      <c r="T57" s="369"/>
      <c r="U57" s="635"/>
      <c r="V57" s="635"/>
      <c r="W57" s="635"/>
      <c r="X57" s="635"/>
      <c r="Z57" s="426"/>
      <c r="AA57" s="426"/>
      <c r="AB57" s="426"/>
      <c r="AC57" s="426"/>
      <c r="AD57" s="426"/>
      <c r="AE57" s="426"/>
      <c r="AF57" s="426"/>
      <c r="AG57" s="429"/>
      <c r="AH57" s="426"/>
      <c r="AI57" s="426"/>
      <c r="AJ57" s="426"/>
      <c r="AK57" s="426"/>
      <c r="AL57" s="426"/>
      <c r="AM57" s="426"/>
      <c r="AN57" s="426"/>
      <c r="AO57" s="426"/>
      <c r="AP57" s="426"/>
      <c r="AQ57" s="426"/>
    </row>
    <row r="58" spans="1:43" s="1" customFormat="1">
      <c r="A58" s="322"/>
      <c r="B58" s="32"/>
      <c r="C58" s="321"/>
      <c r="D58" s="2"/>
      <c r="E58" s="2"/>
      <c r="F58" s="2"/>
      <c r="G58" s="2"/>
      <c r="H58" s="2"/>
      <c r="I58" s="321"/>
      <c r="J58" s="321"/>
      <c r="K58" s="2"/>
      <c r="L58" s="2"/>
      <c r="M58" s="2"/>
      <c r="N58" s="321"/>
      <c r="O58" s="321"/>
      <c r="P58" s="2"/>
      <c r="Q58" s="2"/>
      <c r="R58" s="321"/>
      <c r="S58" s="321"/>
      <c r="T58" s="321"/>
      <c r="U58" s="634"/>
      <c r="V58" s="634"/>
      <c r="W58" s="634"/>
      <c r="X58" s="634"/>
      <c r="Z58" s="108"/>
      <c r="AA58" s="108"/>
      <c r="AB58" s="108"/>
      <c r="AC58" s="108"/>
      <c r="AD58" s="108"/>
      <c r="AE58" s="108"/>
      <c r="AF58" s="108"/>
      <c r="AG58" s="430"/>
      <c r="AH58" s="108"/>
      <c r="AI58" s="108"/>
      <c r="AJ58" s="108"/>
      <c r="AK58" s="108"/>
      <c r="AL58" s="108"/>
      <c r="AM58" s="108"/>
      <c r="AN58" s="108"/>
      <c r="AO58" s="108"/>
      <c r="AP58" s="108"/>
      <c r="AQ58" s="108"/>
    </row>
    <row r="59" spans="1:43">
      <c r="A59" s="322"/>
      <c r="B59" s="32"/>
      <c r="C59" s="321"/>
      <c r="D59" s="2"/>
      <c r="E59" s="2"/>
      <c r="F59" s="2"/>
      <c r="G59" s="2"/>
      <c r="H59" s="2"/>
      <c r="I59" s="321"/>
      <c r="J59" s="321"/>
      <c r="K59" s="2"/>
      <c r="L59" s="2"/>
      <c r="M59" s="2"/>
      <c r="N59" s="321"/>
      <c r="O59" s="321"/>
      <c r="P59" s="2"/>
      <c r="Q59" s="2"/>
      <c r="R59" s="321"/>
      <c r="S59" s="321"/>
      <c r="T59" s="321"/>
      <c r="U59" s="634"/>
      <c r="V59" s="634"/>
      <c r="W59" s="634"/>
      <c r="X59" s="634"/>
      <c r="Z59" s="427"/>
      <c r="AA59" s="427"/>
      <c r="AB59" s="427"/>
      <c r="AC59" s="427"/>
      <c r="AD59" s="427"/>
      <c r="AE59" s="427"/>
      <c r="AF59" s="427"/>
      <c r="AG59" s="431"/>
      <c r="AH59" s="427"/>
      <c r="AI59" s="427"/>
      <c r="AJ59" s="427"/>
      <c r="AK59" s="427"/>
      <c r="AL59" s="427"/>
      <c r="AM59" s="427"/>
      <c r="AN59" s="427"/>
      <c r="AO59" s="427"/>
      <c r="AP59" s="427"/>
      <c r="AQ59" s="427"/>
    </row>
    <row r="60" spans="1:43" s="1" customFormat="1">
      <c r="A60" s="322"/>
      <c r="B60" s="382"/>
      <c r="C60" s="382"/>
      <c r="D60" s="383"/>
      <c r="E60" s="383"/>
      <c r="F60" s="383"/>
      <c r="G60" s="383"/>
      <c r="H60" s="383"/>
      <c r="I60" s="382"/>
      <c r="J60" s="382"/>
      <c r="K60" s="383"/>
      <c r="L60" s="383"/>
      <c r="M60" s="383"/>
      <c r="N60" s="382"/>
      <c r="O60" s="382"/>
      <c r="P60" s="383"/>
      <c r="Q60" s="383"/>
      <c r="R60" s="382"/>
      <c r="S60" s="382"/>
      <c r="T60" s="382"/>
      <c r="U60" s="636"/>
      <c r="V60" s="636"/>
      <c r="W60" s="636"/>
      <c r="X60" s="636"/>
      <c r="Z60" s="426"/>
      <c r="AA60" s="426"/>
      <c r="AB60" s="426"/>
      <c r="AC60" s="426"/>
      <c r="AD60" s="426"/>
      <c r="AE60" s="426"/>
      <c r="AF60" s="426"/>
      <c r="AG60" s="429"/>
      <c r="AH60" s="426"/>
      <c r="AI60" s="426"/>
      <c r="AJ60" s="426"/>
      <c r="AK60" s="426"/>
      <c r="AL60" s="426"/>
      <c r="AM60" s="426"/>
      <c r="AN60" s="426"/>
      <c r="AO60" s="426"/>
      <c r="AP60" s="426"/>
      <c r="AQ60" s="426"/>
    </row>
    <row r="61" spans="1:43">
      <c r="A61" s="330"/>
      <c r="B61" s="417"/>
      <c r="C61" s="419"/>
      <c r="D61" s="599"/>
      <c r="E61" s="599"/>
      <c r="F61" s="599"/>
      <c r="G61" s="599"/>
      <c r="H61" s="599"/>
      <c r="I61" s="419"/>
      <c r="J61" s="419"/>
      <c r="K61" s="599"/>
      <c r="L61" s="599"/>
      <c r="M61" s="599"/>
      <c r="N61" s="419"/>
      <c r="O61" s="419"/>
      <c r="P61" s="599"/>
      <c r="Q61" s="599"/>
      <c r="R61" s="419"/>
      <c r="S61" s="419"/>
      <c r="T61" s="419"/>
      <c r="U61" s="637"/>
      <c r="V61" s="637"/>
      <c r="W61" s="637"/>
      <c r="X61" s="637"/>
      <c r="Z61" s="640"/>
      <c r="AA61" s="640"/>
      <c r="AB61" s="640"/>
      <c r="AC61" s="640"/>
      <c r="AD61" s="640"/>
      <c r="AE61" s="640"/>
      <c r="AF61" s="640"/>
      <c r="AG61" s="641"/>
      <c r="AH61" s="640"/>
      <c r="AI61" s="640"/>
      <c r="AJ61" s="640"/>
      <c r="AK61" s="640"/>
      <c r="AL61" s="640"/>
      <c r="AM61" s="640"/>
      <c r="AN61" s="640"/>
      <c r="AO61" s="640"/>
      <c r="AP61" s="640"/>
      <c r="AQ61" s="640"/>
    </row>
    <row r="62" spans="1:43" s="1" customFormat="1">
      <c r="A62" s="329"/>
      <c r="B62" s="319"/>
      <c r="C62" s="323"/>
      <c r="D62" s="324"/>
      <c r="E62" s="324"/>
      <c r="F62" s="324"/>
      <c r="G62" s="324"/>
      <c r="H62" s="324"/>
      <c r="I62" s="323"/>
      <c r="J62" s="323"/>
      <c r="K62" s="324"/>
      <c r="L62" s="324"/>
      <c r="M62" s="324"/>
      <c r="N62" s="323"/>
      <c r="O62" s="323"/>
      <c r="P62" s="324"/>
      <c r="Q62" s="324"/>
      <c r="R62" s="323"/>
      <c r="S62" s="323"/>
      <c r="T62" s="323"/>
      <c r="U62" s="633"/>
      <c r="V62" s="633"/>
      <c r="W62" s="633"/>
      <c r="X62" s="633"/>
      <c r="Z62" s="108"/>
      <c r="AA62" s="108"/>
      <c r="AB62" s="108"/>
      <c r="AC62" s="108"/>
      <c r="AD62" s="108"/>
      <c r="AE62" s="108"/>
      <c r="AF62" s="108"/>
      <c r="AG62" s="430"/>
      <c r="AH62" s="108"/>
      <c r="AI62" s="108"/>
      <c r="AJ62" s="108"/>
      <c r="AK62" s="108"/>
      <c r="AL62" s="108"/>
      <c r="AM62" s="108"/>
      <c r="AN62" s="108"/>
      <c r="AO62" s="108"/>
      <c r="AP62" s="108"/>
      <c r="AQ62" s="108"/>
    </row>
    <row r="63" spans="1:43">
      <c r="A63" s="322"/>
      <c r="B63" s="32"/>
      <c r="C63" s="321"/>
      <c r="D63" s="2"/>
      <c r="E63" s="2"/>
      <c r="F63" s="2"/>
      <c r="G63" s="2"/>
      <c r="H63" s="2"/>
      <c r="I63" s="321"/>
      <c r="J63" s="321"/>
      <c r="K63" s="2"/>
      <c r="L63" s="2"/>
      <c r="M63" s="2"/>
      <c r="N63" s="321"/>
      <c r="O63" s="321"/>
      <c r="P63" s="2"/>
      <c r="Q63" s="2"/>
      <c r="R63" s="321"/>
      <c r="S63" s="321"/>
      <c r="T63" s="321"/>
      <c r="U63" s="634"/>
      <c r="V63" s="634"/>
      <c r="W63" s="634"/>
      <c r="X63" s="634"/>
      <c r="Z63" s="427"/>
      <c r="AA63" s="427"/>
      <c r="AB63" s="427"/>
      <c r="AC63" s="427"/>
      <c r="AD63" s="427"/>
      <c r="AE63" s="427"/>
      <c r="AF63" s="427"/>
      <c r="AG63" s="431"/>
      <c r="AH63" s="427"/>
      <c r="AI63" s="427"/>
      <c r="AJ63" s="427"/>
      <c r="AK63" s="427"/>
      <c r="AL63" s="427"/>
      <c r="AM63" s="427"/>
      <c r="AN63" s="427"/>
      <c r="AO63" s="427"/>
      <c r="AP63" s="427"/>
      <c r="AQ63" s="427"/>
    </row>
    <row r="64" spans="1:43" s="1" customFormat="1">
      <c r="A64" s="322"/>
      <c r="B64" s="369"/>
      <c r="C64" s="369"/>
      <c r="D64" s="370"/>
      <c r="E64" s="370"/>
      <c r="F64" s="370"/>
      <c r="G64" s="370"/>
      <c r="H64" s="370"/>
      <c r="I64" s="369"/>
      <c r="J64" s="369"/>
      <c r="K64" s="370"/>
      <c r="L64" s="370"/>
      <c r="M64" s="370"/>
      <c r="N64" s="369"/>
      <c r="O64" s="369"/>
      <c r="P64" s="370"/>
      <c r="Q64" s="370"/>
      <c r="R64" s="369"/>
      <c r="S64" s="369"/>
      <c r="T64" s="369"/>
      <c r="U64" s="635"/>
      <c r="V64" s="635"/>
      <c r="W64" s="635"/>
      <c r="X64" s="635"/>
      <c r="Z64" s="426"/>
      <c r="AA64" s="426"/>
      <c r="AB64" s="426"/>
      <c r="AC64" s="426"/>
      <c r="AD64" s="426"/>
      <c r="AE64" s="426"/>
      <c r="AF64" s="426"/>
      <c r="AG64" s="429"/>
      <c r="AH64" s="426"/>
      <c r="AI64" s="426"/>
      <c r="AJ64" s="426"/>
      <c r="AK64" s="426"/>
      <c r="AL64" s="426"/>
      <c r="AM64" s="426"/>
      <c r="AN64" s="426"/>
      <c r="AO64" s="426"/>
      <c r="AP64" s="426"/>
      <c r="AQ64" s="426"/>
    </row>
    <row r="65" spans="1:43">
      <c r="A65" s="322"/>
      <c r="B65" s="32"/>
      <c r="C65" s="321"/>
      <c r="D65" s="2"/>
      <c r="E65" s="2"/>
      <c r="F65" s="2"/>
      <c r="G65" s="2"/>
      <c r="H65" s="2"/>
      <c r="I65" s="321"/>
      <c r="J65" s="321"/>
      <c r="K65" s="2"/>
      <c r="L65" s="2"/>
      <c r="M65" s="2"/>
      <c r="N65" s="321"/>
      <c r="O65" s="321"/>
      <c r="P65" s="2"/>
      <c r="Q65" s="2"/>
      <c r="R65" s="321"/>
      <c r="S65" s="321"/>
      <c r="T65" s="321"/>
      <c r="U65" s="634"/>
      <c r="V65" s="634"/>
      <c r="W65" s="634"/>
      <c r="X65" s="634"/>
      <c r="Z65" s="108"/>
      <c r="AA65" s="108"/>
      <c r="AB65" s="108"/>
      <c r="AC65" s="108"/>
      <c r="AD65" s="108"/>
      <c r="AE65" s="108"/>
      <c r="AF65" s="108"/>
      <c r="AG65" s="430"/>
      <c r="AH65" s="108"/>
      <c r="AI65" s="108"/>
      <c r="AJ65" s="108"/>
      <c r="AK65" s="108"/>
      <c r="AL65" s="108"/>
      <c r="AM65" s="108"/>
      <c r="AN65" s="108"/>
      <c r="AO65" s="108"/>
      <c r="AP65" s="108"/>
      <c r="AQ65" s="108"/>
    </row>
    <row r="66" spans="1:43" s="1" customFormat="1">
      <c r="A66" s="322"/>
      <c r="B66" s="32"/>
      <c r="C66" s="321"/>
      <c r="D66" s="2"/>
      <c r="E66" s="2"/>
      <c r="F66" s="2"/>
      <c r="G66" s="2"/>
      <c r="H66" s="2"/>
      <c r="I66" s="321"/>
      <c r="J66" s="321"/>
      <c r="K66" s="2"/>
      <c r="L66" s="2"/>
      <c r="M66" s="2"/>
      <c r="N66" s="321"/>
      <c r="O66" s="321"/>
      <c r="P66" s="2"/>
      <c r="Q66" s="2"/>
      <c r="R66" s="321"/>
      <c r="S66" s="321"/>
      <c r="T66" s="321"/>
      <c r="U66" s="634"/>
      <c r="V66" s="634"/>
      <c r="W66" s="634"/>
      <c r="X66" s="634"/>
      <c r="Z66" s="427"/>
      <c r="AA66" s="427"/>
      <c r="AB66" s="427"/>
      <c r="AC66" s="427"/>
      <c r="AD66" s="427"/>
      <c r="AE66" s="427"/>
      <c r="AF66" s="427"/>
      <c r="AG66" s="431"/>
      <c r="AH66" s="427"/>
      <c r="AI66" s="427"/>
      <c r="AJ66" s="427"/>
      <c r="AK66" s="427"/>
      <c r="AL66" s="427"/>
      <c r="AM66" s="427"/>
      <c r="AN66" s="427"/>
      <c r="AO66" s="427"/>
      <c r="AP66" s="427"/>
      <c r="AQ66" s="427"/>
    </row>
    <row r="67" spans="1:43">
      <c r="A67" s="322"/>
      <c r="B67" s="382"/>
      <c r="C67" s="382"/>
      <c r="D67" s="383"/>
      <c r="E67" s="383"/>
      <c r="F67" s="383"/>
      <c r="G67" s="383"/>
      <c r="H67" s="383"/>
      <c r="I67" s="382"/>
      <c r="J67" s="382"/>
      <c r="K67" s="383"/>
      <c r="L67" s="383"/>
      <c r="M67" s="383"/>
      <c r="N67" s="382"/>
      <c r="O67" s="382"/>
      <c r="P67" s="383"/>
      <c r="Q67" s="383"/>
      <c r="R67" s="382"/>
      <c r="S67" s="382"/>
      <c r="T67" s="382"/>
      <c r="U67" s="636"/>
      <c r="V67" s="636"/>
      <c r="W67" s="636"/>
      <c r="X67" s="636"/>
      <c r="Z67" s="426"/>
      <c r="AA67" s="426"/>
      <c r="AB67" s="426"/>
      <c r="AC67" s="426"/>
      <c r="AD67" s="426"/>
      <c r="AE67" s="426"/>
      <c r="AF67" s="426"/>
      <c r="AG67" s="429"/>
      <c r="AH67" s="426"/>
      <c r="AI67" s="426"/>
      <c r="AJ67" s="426"/>
      <c r="AK67" s="426"/>
      <c r="AL67" s="426"/>
      <c r="AM67" s="426"/>
      <c r="AN67" s="426"/>
      <c r="AO67" s="426"/>
      <c r="AP67" s="426"/>
      <c r="AQ67" s="426"/>
    </row>
    <row r="68" spans="1:43" s="1" customFormat="1">
      <c r="A68" s="330"/>
      <c r="B68" s="417"/>
      <c r="C68" s="419"/>
      <c r="D68" s="599"/>
      <c r="E68" s="599"/>
      <c r="F68" s="599"/>
      <c r="G68" s="599"/>
      <c r="H68" s="599"/>
      <c r="I68" s="419"/>
      <c r="J68" s="419"/>
      <c r="K68" s="599"/>
      <c r="L68" s="599"/>
      <c r="M68" s="599"/>
      <c r="N68" s="419"/>
      <c r="O68" s="419"/>
      <c r="P68" s="599"/>
      <c r="Q68" s="599"/>
      <c r="R68" s="419"/>
      <c r="S68" s="419"/>
      <c r="T68" s="419"/>
      <c r="U68" s="637"/>
      <c r="V68" s="637"/>
      <c r="W68" s="637"/>
      <c r="X68" s="637"/>
      <c r="Z68" s="640"/>
      <c r="AA68" s="640"/>
      <c r="AB68" s="640"/>
      <c r="AC68" s="640"/>
      <c r="AD68" s="640"/>
      <c r="AE68" s="640"/>
      <c r="AF68" s="640"/>
      <c r="AG68" s="641"/>
      <c r="AH68" s="640"/>
      <c r="AI68" s="640"/>
      <c r="AJ68" s="640"/>
      <c r="AK68" s="640"/>
      <c r="AL68" s="640"/>
      <c r="AM68" s="640"/>
      <c r="AN68" s="640"/>
      <c r="AO68" s="640"/>
      <c r="AP68" s="640"/>
      <c r="AQ68" s="640"/>
    </row>
    <row r="69" spans="1:43">
      <c r="A69" s="329"/>
      <c r="B69" s="319"/>
      <c r="C69" s="323"/>
      <c r="D69" s="324"/>
      <c r="E69" s="324"/>
      <c r="F69" s="324"/>
      <c r="G69" s="324"/>
      <c r="H69" s="324"/>
      <c r="I69" s="323"/>
      <c r="J69" s="323"/>
      <c r="K69" s="324"/>
      <c r="L69" s="324"/>
      <c r="M69" s="324"/>
      <c r="N69" s="323"/>
      <c r="O69" s="323"/>
      <c r="P69" s="324"/>
      <c r="Q69" s="324"/>
      <c r="R69" s="323"/>
      <c r="S69" s="323"/>
      <c r="T69" s="323"/>
      <c r="U69" s="633"/>
      <c r="V69" s="633"/>
      <c r="W69" s="633"/>
      <c r="X69" s="633"/>
      <c r="Z69" s="427"/>
      <c r="AA69" s="427"/>
      <c r="AB69" s="427"/>
      <c r="AC69" s="427"/>
      <c r="AD69" s="427"/>
      <c r="AE69" s="427"/>
      <c r="AF69" s="427"/>
      <c r="AG69" s="431"/>
      <c r="AH69" s="427"/>
      <c r="AI69" s="427"/>
      <c r="AJ69" s="427"/>
      <c r="AK69" s="427"/>
      <c r="AL69" s="427"/>
      <c r="AM69" s="427"/>
      <c r="AN69" s="427"/>
      <c r="AO69" s="427"/>
      <c r="AP69" s="427"/>
      <c r="AQ69" s="427"/>
    </row>
    <row r="70" spans="1:43" s="1" customFormat="1">
      <c r="A70" s="322"/>
      <c r="B70" s="32"/>
      <c r="C70" s="321"/>
      <c r="D70" s="2"/>
      <c r="E70" s="2"/>
      <c r="F70" s="2"/>
      <c r="G70" s="2"/>
      <c r="H70" s="2"/>
      <c r="I70" s="321"/>
      <c r="J70" s="321"/>
      <c r="K70" s="2"/>
      <c r="L70" s="2"/>
      <c r="M70" s="2"/>
      <c r="N70" s="321"/>
      <c r="O70" s="321"/>
      <c r="P70" s="2"/>
      <c r="Q70" s="2"/>
      <c r="R70" s="321"/>
      <c r="S70" s="321"/>
      <c r="T70" s="321"/>
      <c r="U70" s="634"/>
      <c r="V70" s="634"/>
      <c r="W70" s="634"/>
      <c r="X70" s="634"/>
      <c r="Z70" s="108"/>
      <c r="AA70" s="108"/>
      <c r="AB70" s="108"/>
      <c r="AC70" s="108"/>
      <c r="AD70" s="108"/>
      <c r="AE70" s="108"/>
      <c r="AF70" s="108"/>
      <c r="AG70" s="430"/>
      <c r="AH70" s="108"/>
      <c r="AI70" s="108"/>
      <c r="AJ70" s="108"/>
      <c r="AK70" s="108"/>
      <c r="AL70" s="108"/>
      <c r="AM70" s="108"/>
      <c r="AN70" s="108"/>
      <c r="AO70" s="108"/>
      <c r="AP70" s="108"/>
      <c r="AQ70" s="108"/>
    </row>
    <row r="71" spans="1:43">
      <c r="A71" s="322"/>
      <c r="B71" s="369"/>
      <c r="C71" s="369"/>
      <c r="D71" s="370"/>
      <c r="E71" s="370"/>
      <c r="F71" s="370"/>
      <c r="G71" s="370"/>
      <c r="H71" s="370"/>
      <c r="I71" s="369"/>
      <c r="J71" s="369"/>
      <c r="K71" s="370"/>
      <c r="L71" s="370"/>
      <c r="M71" s="370"/>
      <c r="N71" s="369"/>
      <c r="O71" s="369"/>
      <c r="P71" s="370"/>
      <c r="Q71" s="370"/>
      <c r="R71" s="369"/>
      <c r="S71" s="369"/>
      <c r="T71" s="369"/>
      <c r="U71" s="635"/>
      <c r="V71" s="635"/>
      <c r="W71" s="635"/>
      <c r="X71" s="635"/>
      <c r="Z71" s="426"/>
      <c r="AA71" s="426"/>
      <c r="AB71" s="426"/>
      <c r="AC71" s="426"/>
      <c r="AD71" s="426"/>
      <c r="AE71" s="426"/>
      <c r="AF71" s="426"/>
      <c r="AG71" s="429"/>
      <c r="AH71" s="426"/>
      <c r="AI71" s="426"/>
      <c r="AJ71" s="426"/>
      <c r="AK71" s="426"/>
      <c r="AL71" s="426"/>
      <c r="AM71" s="426"/>
      <c r="AN71" s="426"/>
      <c r="AO71" s="426"/>
      <c r="AP71" s="426"/>
      <c r="AQ71" s="426"/>
    </row>
    <row r="72" spans="1:43" s="1" customFormat="1">
      <c r="A72" s="322"/>
      <c r="B72" s="32"/>
      <c r="C72" s="321"/>
      <c r="D72" s="2"/>
      <c r="E72" s="2"/>
      <c r="F72" s="2"/>
      <c r="G72" s="2"/>
      <c r="H72" s="2"/>
      <c r="I72" s="321"/>
      <c r="J72" s="321"/>
      <c r="K72" s="2"/>
      <c r="L72" s="2"/>
      <c r="M72" s="2"/>
      <c r="N72" s="321"/>
      <c r="O72" s="321"/>
      <c r="P72" s="2"/>
      <c r="Q72" s="2"/>
      <c r="R72" s="321"/>
      <c r="S72" s="321"/>
      <c r="T72" s="321"/>
      <c r="U72" s="634"/>
      <c r="V72" s="634"/>
      <c r="W72" s="634"/>
      <c r="X72" s="634"/>
      <c r="Z72" s="108"/>
      <c r="AA72" s="108"/>
      <c r="AB72" s="108"/>
      <c r="AC72" s="108"/>
      <c r="AD72" s="108"/>
      <c r="AE72" s="108"/>
      <c r="AF72" s="108"/>
      <c r="AG72" s="430"/>
      <c r="AH72" s="108"/>
      <c r="AI72" s="108"/>
      <c r="AJ72" s="108"/>
      <c r="AK72" s="108"/>
      <c r="AL72" s="108"/>
      <c r="AM72" s="108"/>
      <c r="AN72" s="108"/>
      <c r="AO72" s="108"/>
      <c r="AP72" s="108"/>
      <c r="AQ72" s="108"/>
    </row>
    <row r="73" spans="1:43">
      <c r="A73" s="322"/>
      <c r="B73" s="32"/>
      <c r="C73" s="321"/>
      <c r="D73" s="2"/>
      <c r="E73" s="2"/>
      <c r="F73" s="2"/>
      <c r="G73" s="2"/>
      <c r="H73" s="2"/>
      <c r="I73" s="321"/>
      <c r="J73" s="321"/>
      <c r="K73" s="2"/>
      <c r="L73" s="2"/>
      <c r="M73" s="2"/>
      <c r="N73" s="321"/>
      <c r="O73" s="321"/>
      <c r="P73" s="2"/>
      <c r="Q73" s="2"/>
      <c r="R73" s="321"/>
      <c r="S73" s="321"/>
      <c r="T73" s="321"/>
      <c r="U73" s="634"/>
      <c r="V73" s="634"/>
      <c r="W73" s="634"/>
      <c r="X73" s="634"/>
      <c r="Z73" s="427"/>
      <c r="AA73" s="427"/>
      <c r="AB73" s="427"/>
      <c r="AC73" s="427"/>
      <c r="AD73" s="427"/>
      <c r="AE73" s="427"/>
      <c r="AF73" s="427"/>
      <c r="AG73" s="431"/>
      <c r="AH73" s="427"/>
      <c r="AI73" s="427"/>
      <c r="AJ73" s="427"/>
      <c r="AK73" s="427"/>
      <c r="AL73" s="427"/>
      <c r="AM73" s="427"/>
      <c r="AN73" s="427"/>
      <c r="AO73" s="427"/>
      <c r="AP73" s="427"/>
      <c r="AQ73" s="427"/>
    </row>
    <row r="74" spans="1:43" s="1" customFormat="1">
      <c r="A74" s="322"/>
      <c r="B74" s="382"/>
      <c r="C74" s="382"/>
      <c r="D74" s="383"/>
      <c r="E74" s="383"/>
      <c r="F74" s="383"/>
      <c r="G74" s="383"/>
      <c r="H74" s="383"/>
      <c r="I74" s="382"/>
      <c r="J74" s="382"/>
      <c r="K74" s="383"/>
      <c r="L74" s="383"/>
      <c r="M74" s="383"/>
      <c r="N74" s="382"/>
      <c r="O74" s="382"/>
      <c r="P74" s="383"/>
      <c r="Q74" s="383"/>
      <c r="R74" s="382"/>
      <c r="S74" s="382"/>
      <c r="T74" s="382"/>
      <c r="U74" s="636"/>
      <c r="V74" s="636"/>
      <c r="W74" s="636"/>
      <c r="X74" s="636"/>
      <c r="Z74" s="426"/>
      <c r="AA74" s="426"/>
      <c r="AB74" s="426"/>
      <c r="AC74" s="426"/>
      <c r="AD74" s="426"/>
      <c r="AE74" s="426"/>
      <c r="AF74" s="426"/>
      <c r="AG74" s="429"/>
      <c r="AH74" s="426"/>
      <c r="AI74" s="426"/>
      <c r="AJ74" s="426"/>
      <c r="AK74" s="426"/>
      <c r="AL74" s="426"/>
      <c r="AM74" s="426"/>
      <c r="AN74" s="426"/>
      <c r="AO74" s="426"/>
      <c r="AP74" s="426"/>
      <c r="AQ74" s="426"/>
    </row>
    <row r="75" spans="1:43">
      <c r="A75" s="330"/>
      <c r="B75" s="417"/>
      <c r="C75" s="419"/>
      <c r="D75" s="599"/>
      <c r="E75" s="599"/>
      <c r="F75" s="599"/>
      <c r="G75" s="599"/>
      <c r="H75" s="599"/>
      <c r="I75" s="419"/>
      <c r="J75" s="419"/>
      <c r="K75" s="599"/>
      <c r="L75" s="599"/>
      <c r="M75" s="599"/>
      <c r="N75" s="419"/>
      <c r="O75" s="419"/>
      <c r="P75" s="599"/>
      <c r="Q75" s="599"/>
      <c r="R75" s="419"/>
      <c r="S75" s="419"/>
      <c r="T75" s="419"/>
      <c r="U75" s="637"/>
      <c r="V75" s="637"/>
      <c r="W75" s="637"/>
      <c r="X75" s="637"/>
      <c r="Z75" s="640"/>
      <c r="AA75" s="640"/>
      <c r="AB75" s="640"/>
      <c r="AC75" s="640"/>
      <c r="AD75" s="640"/>
      <c r="AE75" s="640"/>
      <c r="AF75" s="640"/>
      <c r="AG75" s="641"/>
      <c r="AH75" s="640"/>
      <c r="AI75" s="640"/>
      <c r="AJ75" s="640"/>
      <c r="AK75" s="640"/>
      <c r="AL75" s="640"/>
      <c r="AM75" s="640"/>
      <c r="AN75" s="640"/>
      <c r="AO75" s="640"/>
      <c r="AP75" s="640"/>
      <c r="AQ75" s="640"/>
    </row>
    <row r="76" spans="1:43" s="1" customFormat="1">
      <c r="A76" s="329"/>
      <c r="B76" s="319"/>
      <c r="C76" s="323"/>
      <c r="D76" s="324"/>
      <c r="E76" s="324"/>
      <c r="F76" s="324"/>
      <c r="G76" s="324"/>
      <c r="H76" s="324"/>
      <c r="I76" s="323"/>
      <c r="J76" s="323"/>
      <c r="K76" s="324"/>
      <c r="L76" s="324"/>
      <c r="M76" s="324"/>
      <c r="N76" s="323"/>
      <c r="O76" s="323"/>
      <c r="P76" s="324"/>
      <c r="Q76" s="324"/>
      <c r="R76" s="323"/>
      <c r="S76" s="323"/>
      <c r="T76" s="323"/>
      <c r="U76" s="633"/>
      <c r="V76" s="633"/>
      <c r="W76" s="633"/>
      <c r="X76" s="633"/>
      <c r="Z76" s="108"/>
      <c r="AA76" s="108"/>
      <c r="AB76" s="108"/>
      <c r="AC76" s="108"/>
      <c r="AD76" s="108"/>
      <c r="AE76" s="108"/>
      <c r="AF76" s="108"/>
      <c r="AG76" s="430"/>
      <c r="AH76" s="108"/>
      <c r="AI76" s="108"/>
      <c r="AJ76" s="108"/>
      <c r="AK76" s="108"/>
      <c r="AL76" s="108"/>
      <c r="AM76" s="108"/>
      <c r="AN76" s="108"/>
      <c r="AO76" s="108"/>
      <c r="AP76" s="108"/>
      <c r="AQ76" s="108"/>
    </row>
    <row r="77" spans="1:43">
      <c r="A77" s="322"/>
      <c r="B77" s="32"/>
      <c r="C77" s="321"/>
      <c r="D77" s="2"/>
      <c r="E77" s="2"/>
      <c r="F77" s="2"/>
      <c r="G77" s="2"/>
      <c r="H77" s="2"/>
      <c r="I77" s="321"/>
      <c r="J77" s="321"/>
      <c r="K77" s="2"/>
      <c r="L77" s="2"/>
      <c r="M77" s="2"/>
      <c r="N77" s="321"/>
      <c r="O77" s="321"/>
      <c r="P77" s="2"/>
      <c r="Q77" s="2"/>
      <c r="R77" s="321"/>
      <c r="S77" s="321"/>
      <c r="T77" s="321"/>
      <c r="U77" s="634"/>
      <c r="V77" s="634"/>
      <c r="W77" s="634"/>
      <c r="X77" s="634"/>
      <c r="Z77" s="427"/>
      <c r="AA77" s="427"/>
      <c r="AB77" s="427"/>
      <c r="AC77" s="427"/>
      <c r="AD77" s="427"/>
      <c r="AE77" s="427"/>
      <c r="AF77" s="427"/>
      <c r="AG77" s="431"/>
      <c r="AH77" s="427"/>
      <c r="AI77" s="427"/>
      <c r="AJ77" s="427"/>
      <c r="AK77" s="427"/>
      <c r="AL77" s="427"/>
      <c r="AM77" s="427"/>
      <c r="AN77" s="427"/>
      <c r="AO77" s="427"/>
      <c r="AP77" s="427"/>
      <c r="AQ77" s="427"/>
    </row>
    <row r="78" spans="1:43" s="1" customFormat="1">
      <c r="A78" s="322"/>
      <c r="B78" s="369"/>
      <c r="C78" s="369"/>
      <c r="D78" s="370"/>
      <c r="E78" s="370"/>
      <c r="F78" s="370"/>
      <c r="G78" s="370"/>
      <c r="H78" s="370"/>
      <c r="I78" s="369"/>
      <c r="J78" s="369"/>
      <c r="K78" s="370"/>
      <c r="L78" s="370"/>
      <c r="M78" s="370"/>
      <c r="N78" s="369"/>
      <c r="O78" s="369"/>
      <c r="P78" s="370"/>
      <c r="Q78" s="370"/>
      <c r="R78" s="369"/>
      <c r="S78" s="369"/>
      <c r="T78" s="369"/>
      <c r="U78" s="635"/>
      <c r="V78" s="635"/>
      <c r="W78" s="635"/>
      <c r="X78" s="635"/>
      <c r="Z78" s="426"/>
      <c r="AA78" s="426"/>
      <c r="AB78" s="426"/>
      <c r="AC78" s="426"/>
      <c r="AD78" s="426"/>
      <c r="AE78" s="426"/>
      <c r="AF78" s="426"/>
      <c r="AG78" s="429"/>
      <c r="AH78" s="426"/>
      <c r="AI78" s="426"/>
      <c r="AJ78" s="426"/>
      <c r="AK78" s="426"/>
      <c r="AL78" s="426"/>
      <c r="AM78" s="426"/>
      <c r="AN78" s="426"/>
      <c r="AO78" s="426"/>
      <c r="AP78" s="426"/>
      <c r="AQ78" s="426"/>
    </row>
    <row r="79" spans="1:43">
      <c r="A79" s="322"/>
      <c r="B79" s="32"/>
      <c r="C79" s="321"/>
      <c r="D79" s="2"/>
      <c r="E79" s="2"/>
      <c r="F79" s="2"/>
      <c r="G79" s="2"/>
      <c r="H79" s="2"/>
      <c r="I79" s="321"/>
      <c r="J79" s="321"/>
      <c r="K79" s="2"/>
      <c r="L79" s="2"/>
      <c r="M79" s="2"/>
      <c r="N79" s="321"/>
      <c r="O79" s="321"/>
      <c r="P79" s="2"/>
      <c r="Q79" s="2"/>
      <c r="R79" s="321"/>
      <c r="S79" s="321"/>
      <c r="T79" s="321"/>
      <c r="U79" s="634"/>
      <c r="V79" s="634"/>
      <c r="W79" s="634"/>
      <c r="X79" s="634"/>
      <c r="Z79" s="108"/>
      <c r="AA79" s="108"/>
      <c r="AB79" s="108"/>
      <c r="AC79" s="108"/>
      <c r="AD79" s="108"/>
      <c r="AE79" s="108"/>
      <c r="AF79" s="108"/>
      <c r="AG79" s="430"/>
      <c r="AH79" s="108"/>
      <c r="AI79" s="108"/>
      <c r="AJ79" s="108"/>
      <c r="AK79" s="108"/>
      <c r="AL79" s="108"/>
      <c r="AM79" s="108"/>
      <c r="AN79" s="108"/>
      <c r="AO79" s="108"/>
      <c r="AP79" s="108"/>
      <c r="AQ79" s="108"/>
    </row>
    <row r="80" spans="1:43" s="1" customFormat="1">
      <c r="A80" s="322"/>
      <c r="B80" s="32"/>
      <c r="C80" s="321"/>
      <c r="D80" s="2"/>
      <c r="E80" s="2"/>
      <c r="F80" s="2"/>
      <c r="G80" s="2"/>
      <c r="H80" s="2"/>
      <c r="I80" s="321"/>
      <c r="J80" s="321"/>
      <c r="K80" s="2"/>
      <c r="L80" s="2"/>
      <c r="M80" s="2"/>
      <c r="N80" s="321"/>
      <c r="O80" s="321"/>
      <c r="P80" s="2"/>
      <c r="Q80" s="2"/>
      <c r="R80" s="321"/>
      <c r="S80" s="321"/>
      <c r="T80" s="321"/>
      <c r="U80" s="634"/>
      <c r="V80" s="634"/>
      <c r="W80" s="634"/>
      <c r="X80" s="634"/>
      <c r="Z80" s="427"/>
      <c r="AA80" s="427"/>
      <c r="AB80" s="427"/>
      <c r="AC80" s="427"/>
      <c r="AD80" s="427"/>
      <c r="AE80" s="427"/>
      <c r="AF80" s="427"/>
      <c r="AG80" s="431"/>
      <c r="AH80" s="427"/>
      <c r="AI80" s="427"/>
      <c r="AJ80" s="427"/>
      <c r="AK80" s="427"/>
      <c r="AL80" s="427"/>
      <c r="AM80" s="427"/>
      <c r="AN80" s="427"/>
      <c r="AO80" s="427"/>
      <c r="AP80" s="427"/>
      <c r="AQ80" s="427"/>
    </row>
    <row r="81" spans="1:43">
      <c r="A81" s="322"/>
      <c r="B81" s="382"/>
      <c r="C81" s="382"/>
      <c r="D81" s="383"/>
      <c r="E81" s="383"/>
      <c r="F81" s="383"/>
      <c r="G81" s="383"/>
      <c r="H81" s="383"/>
      <c r="I81" s="382"/>
      <c r="J81" s="382"/>
      <c r="K81" s="383"/>
      <c r="L81" s="383"/>
      <c r="M81" s="383"/>
      <c r="N81" s="382"/>
      <c r="O81" s="382"/>
      <c r="P81" s="383"/>
      <c r="Q81" s="383"/>
      <c r="R81" s="382"/>
      <c r="S81" s="382"/>
      <c r="T81" s="382"/>
      <c r="U81" s="636"/>
      <c r="V81" s="636"/>
      <c r="W81" s="636"/>
      <c r="X81" s="636"/>
      <c r="Z81" s="426"/>
      <c r="AA81" s="426"/>
      <c r="AB81" s="426"/>
      <c r="AC81" s="426"/>
      <c r="AD81" s="426"/>
      <c r="AE81" s="426"/>
      <c r="AF81" s="426"/>
      <c r="AG81" s="429"/>
      <c r="AH81" s="426"/>
      <c r="AI81" s="426"/>
      <c r="AJ81" s="426"/>
      <c r="AK81" s="426"/>
      <c r="AL81" s="426"/>
      <c r="AM81" s="426"/>
      <c r="AN81" s="426"/>
      <c r="AO81" s="426"/>
      <c r="AP81" s="426"/>
      <c r="AQ81" s="426"/>
    </row>
    <row r="82" spans="1:43" s="1" customFormat="1">
      <c r="A82" s="330"/>
      <c r="B82" s="417"/>
      <c r="C82" s="419"/>
      <c r="D82" s="599"/>
      <c r="E82" s="599"/>
      <c r="F82" s="599"/>
      <c r="G82" s="599"/>
      <c r="H82" s="599"/>
      <c r="I82" s="419"/>
      <c r="J82" s="419"/>
      <c r="K82" s="599"/>
      <c r="L82" s="599"/>
      <c r="M82" s="599"/>
      <c r="N82" s="419"/>
      <c r="O82" s="419"/>
      <c r="P82" s="599"/>
      <c r="Q82" s="599"/>
      <c r="R82" s="419"/>
      <c r="S82" s="419"/>
      <c r="T82" s="419"/>
      <c r="U82" s="637"/>
      <c r="V82" s="637"/>
      <c r="W82" s="637"/>
      <c r="X82" s="637"/>
      <c r="Z82" s="640"/>
      <c r="AA82" s="640"/>
      <c r="AB82" s="640"/>
      <c r="AC82" s="640"/>
      <c r="AD82" s="640"/>
      <c r="AE82" s="640"/>
      <c r="AF82" s="640"/>
      <c r="AG82" s="641"/>
      <c r="AH82" s="640"/>
      <c r="AI82" s="640"/>
      <c r="AJ82" s="640"/>
      <c r="AK82" s="640"/>
      <c r="AL82" s="640"/>
      <c r="AM82" s="640"/>
      <c r="AN82" s="640"/>
      <c r="AO82" s="640"/>
      <c r="AP82" s="640"/>
      <c r="AQ82" s="640"/>
    </row>
    <row r="83" spans="1:43">
      <c r="A83" s="329"/>
      <c r="B83" s="319"/>
      <c r="C83" s="323"/>
      <c r="D83" s="324"/>
      <c r="E83" s="324"/>
      <c r="F83" s="324"/>
      <c r="G83" s="324"/>
      <c r="H83" s="324"/>
      <c r="I83" s="323"/>
      <c r="J83" s="323"/>
      <c r="K83" s="324"/>
      <c r="L83" s="324"/>
      <c r="M83" s="324"/>
      <c r="N83" s="323"/>
      <c r="O83" s="323"/>
      <c r="P83" s="324"/>
      <c r="Q83" s="324"/>
      <c r="R83" s="323"/>
      <c r="S83" s="323"/>
      <c r="T83" s="323"/>
      <c r="U83" s="633"/>
      <c r="V83" s="633"/>
      <c r="W83" s="633"/>
      <c r="X83" s="633"/>
      <c r="Z83" s="427"/>
      <c r="AA83" s="427"/>
      <c r="AB83" s="427"/>
      <c r="AC83" s="427"/>
      <c r="AD83" s="427"/>
      <c r="AE83" s="427"/>
      <c r="AF83" s="427"/>
      <c r="AG83" s="431"/>
      <c r="AH83" s="427"/>
      <c r="AI83" s="427"/>
      <c r="AJ83" s="427"/>
      <c r="AK83" s="427"/>
      <c r="AL83" s="427"/>
      <c r="AM83" s="427"/>
      <c r="AN83" s="427"/>
      <c r="AO83" s="427"/>
      <c r="AP83" s="427"/>
      <c r="AQ83" s="427"/>
    </row>
    <row r="84" spans="1:43" s="1" customFormat="1">
      <c r="A84" s="322"/>
      <c r="B84" s="32"/>
      <c r="C84" s="321"/>
      <c r="D84" s="2"/>
      <c r="E84" s="2"/>
      <c r="F84" s="2"/>
      <c r="G84" s="2"/>
      <c r="H84" s="2"/>
      <c r="I84" s="321"/>
      <c r="J84" s="321"/>
      <c r="K84" s="2"/>
      <c r="L84" s="2"/>
      <c r="M84" s="2"/>
      <c r="N84" s="321"/>
      <c r="O84" s="321"/>
      <c r="P84" s="2"/>
      <c r="Q84" s="2"/>
      <c r="R84" s="321"/>
      <c r="S84" s="321"/>
      <c r="T84" s="321"/>
      <c r="U84" s="634"/>
      <c r="V84" s="634"/>
      <c r="W84" s="634"/>
      <c r="X84" s="634"/>
      <c r="Z84" s="108"/>
      <c r="AA84" s="108"/>
      <c r="AB84" s="108"/>
      <c r="AC84" s="108"/>
      <c r="AD84" s="108"/>
      <c r="AE84" s="108"/>
      <c r="AF84" s="108"/>
      <c r="AG84" s="430"/>
      <c r="AH84" s="108"/>
      <c r="AI84" s="108"/>
      <c r="AJ84" s="108"/>
      <c r="AK84" s="108"/>
      <c r="AL84" s="108"/>
      <c r="AM84" s="108"/>
      <c r="AN84" s="108"/>
      <c r="AO84" s="108"/>
      <c r="AP84" s="108"/>
      <c r="AQ84" s="108"/>
    </row>
    <row r="85" spans="1:43">
      <c r="A85" s="322"/>
      <c r="B85" s="369"/>
      <c r="C85" s="369"/>
      <c r="D85" s="370"/>
      <c r="E85" s="370"/>
      <c r="F85" s="370"/>
      <c r="G85" s="370"/>
      <c r="H85" s="370"/>
      <c r="I85" s="369"/>
      <c r="J85" s="369"/>
      <c r="K85" s="370"/>
      <c r="L85" s="370"/>
      <c r="M85" s="370"/>
      <c r="N85" s="369"/>
      <c r="O85" s="369"/>
      <c r="P85" s="370"/>
      <c r="Q85" s="370"/>
      <c r="R85" s="369"/>
      <c r="S85" s="369"/>
      <c r="T85" s="369"/>
      <c r="U85" s="635"/>
      <c r="V85" s="635"/>
      <c r="W85" s="635"/>
      <c r="X85" s="635"/>
      <c r="Z85" s="426"/>
      <c r="AA85" s="426"/>
      <c r="AB85" s="426"/>
      <c r="AC85" s="426"/>
      <c r="AD85" s="426"/>
      <c r="AE85" s="426"/>
      <c r="AF85" s="426"/>
      <c r="AG85" s="429"/>
      <c r="AH85" s="426"/>
      <c r="AI85" s="426"/>
      <c r="AJ85" s="426"/>
      <c r="AK85" s="426"/>
      <c r="AL85" s="426"/>
      <c r="AM85" s="426"/>
      <c r="AN85" s="426"/>
      <c r="AO85" s="426"/>
      <c r="AP85" s="426"/>
      <c r="AQ85" s="426"/>
    </row>
    <row r="86" spans="1:43" s="1" customFormat="1">
      <c r="A86" s="322"/>
      <c r="B86" s="32"/>
      <c r="C86" s="321"/>
      <c r="D86" s="2"/>
      <c r="E86" s="2"/>
      <c r="F86" s="2"/>
      <c r="G86" s="2"/>
      <c r="H86" s="2"/>
      <c r="I86" s="321"/>
      <c r="J86" s="321"/>
      <c r="K86" s="2"/>
      <c r="L86" s="2"/>
      <c r="M86" s="2"/>
      <c r="N86" s="321"/>
      <c r="O86" s="321"/>
      <c r="P86" s="2"/>
      <c r="Q86" s="2"/>
      <c r="R86" s="321"/>
      <c r="S86" s="321"/>
      <c r="T86" s="321"/>
      <c r="U86" s="634"/>
      <c r="V86" s="634"/>
      <c r="W86" s="634"/>
      <c r="X86" s="634"/>
      <c r="Z86" s="108"/>
      <c r="AA86" s="108"/>
      <c r="AB86" s="108"/>
      <c r="AC86" s="108"/>
      <c r="AD86" s="108"/>
      <c r="AE86" s="108"/>
      <c r="AF86" s="108"/>
      <c r="AG86" s="430"/>
      <c r="AH86" s="108"/>
      <c r="AI86" s="108"/>
      <c r="AJ86" s="108"/>
      <c r="AK86" s="108"/>
      <c r="AL86" s="108"/>
      <c r="AM86" s="108"/>
      <c r="AN86" s="108"/>
      <c r="AO86" s="108"/>
      <c r="AP86" s="108"/>
      <c r="AQ86" s="108"/>
    </row>
    <row r="87" spans="1:43">
      <c r="A87" s="322"/>
      <c r="B87" s="32"/>
      <c r="C87" s="321"/>
      <c r="D87" s="2"/>
      <c r="E87" s="2"/>
      <c r="F87" s="2"/>
      <c r="G87" s="2"/>
      <c r="H87" s="2"/>
      <c r="I87" s="321"/>
      <c r="J87" s="321"/>
      <c r="K87" s="2"/>
      <c r="L87" s="2"/>
      <c r="M87" s="2"/>
      <c r="N87" s="321"/>
      <c r="O87" s="321"/>
      <c r="P87" s="2"/>
      <c r="Q87" s="2"/>
      <c r="R87" s="321"/>
      <c r="S87" s="321"/>
      <c r="T87" s="321"/>
      <c r="U87" s="634"/>
      <c r="V87" s="634"/>
      <c r="W87" s="634"/>
      <c r="X87" s="634"/>
      <c r="Z87" s="427"/>
      <c r="AA87" s="427"/>
      <c r="AB87" s="427"/>
      <c r="AC87" s="427"/>
      <c r="AD87" s="427"/>
      <c r="AE87" s="427"/>
      <c r="AF87" s="427"/>
      <c r="AG87" s="431"/>
      <c r="AH87" s="427"/>
      <c r="AI87" s="427"/>
      <c r="AJ87" s="427"/>
      <c r="AK87" s="427"/>
      <c r="AL87" s="427"/>
      <c r="AM87" s="427"/>
      <c r="AN87" s="427"/>
      <c r="AO87" s="427"/>
      <c r="AP87" s="427"/>
      <c r="AQ87" s="427"/>
    </row>
    <row r="88" spans="1:43" s="1" customFormat="1">
      <c r="A88" s="322"/>
      <c r="B88" s="382"/>
      <c r="C88" s="382"/>
      <c r="D88" s="383"/>
      <c r="E88" s="383"/>
      <c r="F88" s="383"/>
      <c r="G88" s="383"/>
      <c r="H88" s="383"/>
      <c r="I88" s="382"/>
      <c r="J88" s="382"/>
      <c r="K88" s="383"/>
      <c r="L88" s="383"/>
      <c r="M88" s="383"/>
      <c r="N88" s="382"/>
      <c r="O88" s="382"/>
      <c r="P88" s="383"/>
      <c r="Q88" s="383"/>
      <c r="R88" s="382"/>
      <c r="S88" s="382"/>
      <c r="T88" s="382"/>
      <c r="U88" s="636"/>
      <c r="V88" s="636"/>
      <c r="W88" s="636"/>
      <c r="X88" s="636"/>
      <c r="Z88" s="426"/>
      <c r="AA88" s="426"/>
      <c r="AB88" s="426"/>
      <c r="AC88" s="426"/>
      <c r="AD88" s="426"/>
      <c r="AE88" s="426"/>
      <c r="AF88" s="426"/>
      <c r="AG88" s="429"/>
      <c r="AH88" s="426"/>
      <c r="AI88" s="426"/>
      <c r="AJ88" s="426"/>
      <c r="AK88" s="426"/>
      <c r="AL88" s="426"/>
      <c r="AM88" s="426"/>
      <c r="AN88" s="426"/>
      <c r="AO88" s="426"/>
      <c r="AP88" s="426"/>
      <c r="AQ88" s="426"/>
    </row>
    <row r="89" spans="1:43">
      <c r="A89" s="330"/>
      <c r="B89" s="417"/>
      <c r="C89" s="419"/>
      <c r="D89" s="599"/>
      <c r="E89" s="599"/>
      <c r="F89" s="599"/>
      <c r="G89" s="599"/>
      <c r="H89" s="599"/>
      <c r="I89" s="419"/>
      <c r="J89" s="419"/>
      <c r="K89" s="599"/>
      <c r="L89" s="599"/>
      <c r="M89" s="599"/>
      <c r="N89" s="419"/>
      <c r="O89" s="419"/>
      <c r="P89" s="599"/>
      <c r="Q89" s="599"/>
      <c r="R89" s="419"/>
      <c r="S89" s="419"/>
      <c r="T89" s="419"/>
      <c r="U89" s="637"/>
      <c r="V89" s="637"/>
      <c r="W89" s="637"/>
      <c r="X89" s="637"/>
      <c r="Z89" s="640"/>
      <c r="AA89" s="640"/>
      <c r="AB89" s="640"/>
      <c r="AC89" s="640"/>
      <c r="AD89" s="640"/>
      <c r="AE89" s="640"/>
      <c r="AF89" s="640"/>
      <c r="AG89" s="641"/>
      <c r="AH89" s="640"/>
      <c r="AI89" s="640"/>
      <c r="AJ89" s="640"/>
      <c r="AK89" s="640"/>
      <c r="AL89" s="640"/>
      <c r="AM89" s="640"/>
      <c r="AN89" s="640"/>
      <c r="AO89" s="640"/>
      <c r="AP89" s="640"/>
      <c r="AQ89" s="640"/>
    </row>
    <row r="90" spans="1:43" s="1" customFormat="1">
      <c r="A90" s="329"/>
      <c r="B90" s="319"/>
      <c r="C90" s="323"/>
      <c r="D90" s="324"/>
      <c r="E90" s="324"/>
      <c r="F90" s="324"/>
      <c r="G90" s="324"/>
      <c r="H90" s="324"/>
      <c r="I90" s="323"/>
      <c r="J90" s="323"/>
      <c r="K90" s="324"/>
      <c r="L90" s="324"/>
      <c r="M90" s="324"/>
      <c r="N90" s="323"/>
      <c r="O90" s="323"/>
      <c r="P90" s="324"/>
      <c r="Q90" s="324"/>
      <c r="R90" s="323"/>
      <c r="S90" s="323"/>
      <c r="T90" s="323"/>
      <c r="U90" s="633"/>
      <c r="V90" s="633"/>
      <c r="W90" s="633"/>
      <c r="X90" s="633"/>
      <c r="Z90" s="108"/>
      <c r="AA90" s="108"/>
      <c r="AB90" s="108"/>
      <c r="AC90" s="108"/>
      <c r="AD90" s="108"/>
      <c r="AE90" s="108"/>
      <c r="AF90" s="108"/>
      <c r="AG90" s="430"/>
      <c r="AH90" s="108"/>
      <c r="AI90" s="108"/>
      <c r="AJ90" s="108"/>
      <c r="AK90" s="108"/>
      <c r="AL90" s="108"/>
      <c r="AM90" s="108"/>
      <c r="AN90" s="108"/>
      <c r="AO90" s="108"/>
      <c r="AP90" s="108"/>
      <c r="AQ90" s="108"/>
    </row>
    <row r="91" spans="1:43">
      <c r="A91" s="322"/>
      <c r="B91" s="32"/>
      <c r="C91" s="321"/>
      <c r="D91" s="2"/>
      <c r="E91" s="2"/>
      <c r="F91" s="2"/>
      <c r="G91" s="2"/>
      <c r="H91" s="2"/>
      <c r="I91" s="321"/>
      <c r="J91" s="321"/>
      <c r="K91" s="2"/>
      <c r="L91" s="2"/>
      <c r="M91" s="2"/>
      <c r="N91" s="321"/>
      <c r="O91" s="321"/>
      <c r="P91" s="2"/>
      <c r="Q91" s="2"/>
      <c r="R91" s="321"/>
      <c r="S91" s="321"/>
      <c r="T91" s="321"/>
      <c r="U91" s="634"/>
      <c r="V91" s="634"/>
      <c r="W91" s="634"/>
      <c r="X91" s="634"/>
      <c r="Z91" s="427"/>
      <c r="AA91" s="427"/>
      <c r="AB91" s="427"/>
      <c r="AC91" s="427"/>
      <c r="AD91" s="427"/>
      <c r="AE91" s="427"/>
      <c r="AF91" s="427"/>
      <c r="AG91" s="431"/>
      <c r="AH91" s="427"/>
      <c r="AI91" s="427"/>
      <c r="AJ91" s="427"/>
      <c r="AK91" s="427"/>
      <c r="AL91" s="427"/>
      <c r="AM91" s="427"/>
      <c r="AN91" s="427"/>
      <c r="AO91" s="427"/>
      <c r="AP91" s="427"/>
      <c r="AQ91" s="427"/>
    </row>
    <row r="92" spans="1:43" s="1" customFormat="1">
      <c r="A92" s="322"/>
      <c r="B92" s="369"/>
      <c r="C92" s="369"/>
      <c r="D92" s="370"/>
      <c r="E92" s="370"/>
      <c r="F92" s="370"/>
      <c r="G92" s="370"/>
      <c r="H92" s="370"/>
      <c r="I92" s="369"/>
      <c r="J92" s="369"/>
      <c r="K92" s="370"/>
      <c r="L92" s="370"/>
      <c r="M92" s="370"/>
      <c r="N92" s="369"/>
      <c r="O92" s="369"/>
      <c r="P92" s="370"/>
      <c r="Q92" s="370"/>
      <c r="R92" s="369"/>
      <c r="S92" s="369"/>
      <c r="T92" s="369"/>
      <c r="U92" s="635"/>
      <c r="V92" s="635"/>
      <c r="W92" s="635"/>
      <c r="X92" s="635"/>
      <c r="Z92" s="426"/>
      <c r="AA92" s="426"/>
      <c r="AB92" s="426"/>
      <c r="AC92" s="426"/>
      <c r="AD92" s="426"/>
      <c r="AE92" s="426"/>
      <c r="AF92" s="426"/>
      <c r="AG92" s="429"/>
      <c r="AH92" s="426"/>
      <c r="AI92" s="426"/>
      <c r="AJ92" s="426"/>
      <c r="AK92" s="426"/>
      <c r="AL92" s="426"/>
      <c r="AM92" s="426"/>
      <c r="AN92" s="426"/>
      <c r="AO92" s="426"/>
      <c r="AP92" s="426"/>
      <c r="AQ92" s="426"/>
    </row>
    <row r="93" spans="1:43">
      <c r="A93" s="322"/>
      <c r="B93" s="32"/>
      <c r="C93" s="321"/>
      <c r="D93" s="2"/>
      <c r="E93" s="2"/>
      <c r="F93" s="2"/>
      <c r="G93" s="2"/>
      <c r="H93" s="2"/>
      <c r="I93" s="321"/>
      <c r="J93" s="321"/>
      <c r="K93" s="2"/>
      <c r="L93" s="2"/>
      <c r="M93" s="2"/>
      <c r="N93" s="321"/>
      <c r="O93" s="321"/>
      <c r="P93" s="2"/>
      <c r="Q93" s="2"/>
      <c r="R93" s="321"/>
      <c r="S93" s="321"/>
      <c r="T93" s="321"/>
      <c r="U93" s="634"/>
      <c r="V93" s="634"/>
      <c r="W93" s="634"/>
      <c r="X93" s="634"/>
      <c r="Z93" s="108"/>
      <c r="AA93" s="108"/>
      <c r="AB93" s="108"/>
      <c r="AC93" s="108"/>
      <c r="AD93" s="108"/>
      <c r="AE93" s="108"/>
      <c r="AF93" s="108"/>
      <c r="AG93" s="430"/>
      <c r="AH93" s="108"/>
      <c r="AI93" s="108"/>
      <c r="AJ93" s="108"/>
      <c r="AK93" s="108"/>
      <c r="AL93" s="108"/>
      <c r="AM93" s="108"/>
      <c r="AN93" s="108"/>
      <c r="AO93" s="108"/>
      <c r="AP93" s="108"/>
      <c r="AQ93" s="108"/>
    </row>
    <row r="94" spans="1:43" s="1" customFormat="1">
      <c r="A94" s="322"/>
      <c r="B94" s="32"/>
      <c r="C94" s="321"/>
      <c r="D94" s="2"/>
      <c r="E94" s="2"/>
      <c r="F94" s="2"/>
      <c r="G94" s="2"/>
      <c r="H94" s="2"/>
      <c r="I94" s="321"/>
      <c r="J94" s="321"/>
      <c r="K94" s="2"/>
      <c r="L94" s="2"/>
      <c r="M94" s="2"/>
      <c r="N94" s="321"/>
      <c r="O94" s="321"/>
      <c r="P94" s="2"/>
      <c r="Q94" s="2"/>
      <c r="R94" s="321"/>
      <c r="S94" s="321"/>
      <c r="T94" s="321"/>
      <c r="U94" s="634"/>
      <c r="V94" s="634"/>
      <c r="W94" s="634"/>
      <c r="X94" s="634"/>
      <c r="Z94" s="427"/>
      <c r="AA94" s="427"/>
      <c r="AB94" s="427"/>
      <c r="AC94" s="427"/>
      <c r="AD94" s="427"/>
      <c r="AE94" s="427"/>
      <c r="AF94" s="427"/>
      <c r="AG94" s="431"/>
      <c r="AH94" s="427"/>
      <c r="AI94" s="427"/>
      <c r="AJ94" s="427"/>
      <c r="AK94" s="427"/>
      <c r="AL94" s="427"/>
      <c r="AM94" s="427"/>
      <c r="AN94" s="427"/>
      <c r="AO94" s="427"/>
      <c r="AP94" s="427"/>
      <c r="AQ94" s="427"/>
    </row>
    <row r="95" spans="1:43">
      <c r="A95" s="322"/>
      <c r="B95" s="382"/>
      <c r="C95" s="382"/>
      <c r="D95" s="383"/>
      <c r="E95" s="383"/>
      <c r="F95" s="383"/>
      <c r="G95" s="383"/>
      <c r="H95" s="383"/>
      <c r="I95" s="382"/>
      <c r="J95" s="382"/>
      <c r="K95" s="383"/>
      <c r="L95" s="383"/>
      <c r="M95" s="383"/>
      <c r="N95" s="382"/>
      <c r="O95" s="382"/>
      <c r="P95" s="383"/>
      <c r="Q95" s="383"/>
      <c r="R95" s="382"/>
      <c r="S95" s="382"/>
      <c r="T95" s="382"/>
      <c r="U95" s="636"/>
      <c r="V95" s="636"/>
      <c r="W95" s="636"/>
      <c r="X95" s="636"/>
      <c r="Z95" s="426"/>
      <c r="AA95" s="426"/>
      <c r="AB95" s="426"/>
      <c r="AC95" s="426"/>
      <c r="AD95" s="426"/>
      <c r="AE95" s="426"/>
      <c r="AF95" s="426"/>
      <c r="AG95" s="429"/>
      <c r="AH95" s="426"/>
      <c r="AI95" s="426"/>
      <c r="AJ95" s="426"/>
      <c r="AK95" s="426"/>
      <c r="AL95" s="426"/>
      <c r="AM95" s="426"/>
      <c r="AN95" s="426"/>
      <c r="AO95" s="426"/>
      <c r="AP95" s="426"/>
      <c r="AQ95" s="426"/>
    </row>
    <row r="96" spans="1:43" s="1" customFormat="1">
      <c r="A96" s="330"/>
      <c r="B96" s="417"/>
      <c r="C96" s="419"/>
      <c r="D96" s="599"/>
      <c r="E96" s="599"/>
      <c r="F96" s="599"/>
      <c r="G96" s="599"/>
      <c r="H96" s="599"/>
      <c r="I96" s="419"/>
      <c r="J96" s="419"/>
      <c r="K96" s="599"/>
      <c r="L96" s="599"/>
      <c r="M96" s="599"/>
      <c r="N96" s="419"/>
      <c r="O96" s="419"/>
      <c r="P96" s="599"/>
      <c r="Q96" s="599"/>
      <c r="R96" s="419"/>
      <c r="S96" s="419"/>
      <c r="T96" s="419"/>
      <c r="U96" s="637"/>
      <c r="V96" s="637"/>
      <c r="W96" s="637"/>
      <c r="X96" s="637"/>
      <c r="Z96" s="640"/>
      <c r="AA96" s="640"/>
      <c r="AB96" s="640"/>
      <c r="AC96" s="640"/>
      <c r="AD96" s="640"/>
      <c r="AE96" s="640"/>
      <c r="AF96" s="640"/>
      <c r="AG96" s="641"/>
      <c r="AH96" s="640"/>
      <c r="AI96" s="640"/>
      <c r="AJ96" s="640"/>
      <c r="AK96" s="640"/>
      <c r="AL96" s="640"/>
      <c r="AM96" s="640"/>
      <c r="AN96" s="640"/>
      <c r="AO96" s="640"/>
      <c r="AP96" s="640"/>
      <c r="AQ96" s="640"/>
    </row>
    <row r="97" spans="1:43">
      <c r="A97" s="329"/>
      <c r="B97" s="319"/>
      <c r="C97" s="323"/>
      <c r="D97" s="324"/>
      <c r="E97" s="324"/>
      <c r="F97" s="324"/>
      <c r="G97" s="324"/>
      <c r="H97" s="324"/>
      <c r="I97" s="323"/>
      <c r="J97" s="323"/>
      <c r="K97" s="324"/>
      <c r="L97" s="324"/>
      <c r="M97" s="324"/>
      <c r="N97" s="323"/>
      <c r="O97" s="323"/>
      <c r="P97" s="324"/>
      <c r="Q97" s="324"/>
      <c r="R97" s="323"/>
      <c r="S97" s="323"/>
      <c r="T97" s="323"/>
      <c r="U97" s="633"/>
      <c r="V97" s="633"/>
      <c r="W97" s="633"/>
      <c r="X97" s="633"/>
      <c r="Z97" s="427"/>
      <c r="AA97" s="427"/>
      <c r="AB97" s="427"/>
      <c r="AC97" s="427"/>
      <c r="AD97" s="427"/>
      <c r="AE97" s="427"/>
      <c r="AF97" s="427"/>
      <c r="AG97" s="431"/>
      <c r="AH97" s="427"/>
      <c r="AI97" s="427"/>
      <c r="AJ97" s="427"/>
      <c r="AK97" s="427"/>
      <c r="AL97" s="427"/>
      <c r="AM97" s="427"/>
      <c r="AN97" s="427"/>
      <c r="AO97" s="427"/>
      <c r="AP97" s="427"/>
      <c r="AQ97" s="427"/>
    </row>
    <row r="98" spans="1:43" s="1" customFormat="1">
      <c r="A98" s="322"/>
      <c r="B98" s="32"/>
      <c r="C98" s="321"/>
      <c r="D98" s="2"/>
      <c r="E98" s="2"/>
      <c r="F98" s="2"/>
      <c r="G98" s="2"/>
      <c r="H98" s="2"/>
      <c r="I98" s="321"/>
      <c r="J98" s="321"/>
      <c r="K98" s="2"/>
      <c r="L98" s="2"/>
      <c r="M98" s="2"/>
      <c r="N98" s="321"/>
      <c r="O98" s="321"/>
      <c r="P98" s="2"/>
      <c r="Q98" s="2"/>
      <c r="R98" s="321"/>
      <c r="S98" s="321"/>
      <c r="T98" s="321"/>
      <c r="U98" s="634"/>
      <c r="V98" s="634"/>
      <c r="W98" s="634"/>
      <c r="X98" s="634"/>
      <c r="Z98" s="108"/>
      <c r="AA98" s="108"/>
      <c r="AB98" s="108"/>
      <c r="AC98" s="108"/>
      <c r="AD98" s="108"/>
      <c r="AE98" s="108"/>
      <c r="AF98" s="108"/>
      <c r="AG98" s="430"/>
      <c r="AH98" s="108"/>
      <c r="AI98" s="108"/>
      <c r="AJ98" s="108"/>
      <c r="AK98" s="108"/>
      <c r="AL98" s="108"/>
      <c r="AM98" s="108"/>
      <c r="AN98" s="108"/>
      <c r="AO98" s="108"/>
      <c r="AP98" s="108"/>
      <c r="AQ98" s="108"/>
    </row>
    <row r="99" spans="1:43">
      <c r="A99" s="322"/>
      <c r="B99" s="369"/>
      <c r="C99" s="369"/>
      <c r="D99" s="370"/>
      <c r="E99" s="370"/>
      <c r="F99" s="370"/>
      <c r="G99" s="370"/>
      <c r="H99" s="370"/>
      <c r="I99" s="369"/>
      <c r="J99" s="369"/>
      <c r="K99" s="370"/>
      <c r="L99" s="370"/>
      <c r="M99" s="370"/>
      <c r="N99" s="369"/>
      <c r="O99" s="369"/>
      <c r="P99" s="370"/>
      <c r="Q99" s="370"/>
      <c r="R99" s="369"/>
      <c r="S99" s="369"/>
      <c r="T99" s="369"/>
      <c r="U99" s="635"/>
      <c r="V99" s="635"/>
      <c r="W99" s="635"/>
      <c r="X99" s="635"/>
      <c r="Z99" s="426"/>
      <c r="AA99" s="426"/>
      <c r="AB99" s="426"/>
      <c r="AC99" s="426"/>
      <c r="AD99" s="426"/>
      <c r="AE99" s="426"/>
      <c r="AF99" s="426"/>
      <c r="AG99" s="429"/>
      <c r="AH99" s="426"/>
      <c r="AI99" s="426"/>
      <c r="AJ99" s="426"/>
      <c r="AK99" s="426"/>
      <c r="AL99" s="426"/>
      <c r="AM99" s="426"/>
      <c r="AN99" s="426"/>
      <c r="AO99" s="426"/>
      <c r="AP99" s="426"/>
      <c r="AQ99" s="426"/>
    </row>
    <row r="100" spans="1:43" s="1" customFormat="1">
      <c r="A100" s="322"/>
      <c r="B100" s="32"/>
      <c r="C100" s="321"/>
      <c r="D100" s="2"/>
      <c r="E100" s="2"/>
      <c r="F100" s="2"/>
      <c r="G100" s="2"/>
      <c r="H100" s="2"/>
      <c r="I100" s="321"/>
      <c r="J100" s="321"/>
      <c r="K100" s="2"/>
      <c r="L100" s="2"/>
      <c r="M100" s="2"/>
      <c r="N100" s="321"/>
      <c r="O100" s="321"/>
      <c r="P100" s="2"/>
      <c r="Q100" s="2"/>
      <c r="R100" s="321"/>
      <c r="S100" s="321"/>
      <c r="T100" s="321"/>
      <c r="U100" s="634"/>
      <c r="V100" s="634"/>
      <c r="W100" s="634"/>
      <c r="X100" s="634"/>
      <c r="Z100" s="108"/>
      <c r="AA100" s="108"/>
      <c r="AB100" s="108"/>
      <c r="AC100" s="108"/>
      <c r="AD100" s="108"/>
      <c r="AE100" s="108"/>
      <c r="AF100" s="108"/>
      <c r="AG100" s="430"/>
      <c r="AH100" s="108"/>
      <c r="AI100" s="108"/>
      <c r="AJ100" s="108"/>
      <c r="AK100" s="108"/>
      <c r="AL100" s="108"/>
      <c r="AM100" s="108"/>
      <c r="AN100" s="108"/>
      <c r="AO100" s="108"/>
      <c r="AP100" s="108"/>
      <c r="AQ100" s="108"/>
    </row>
    <row r="101" spans="1:43">
      <c r="A101" s="322"/>
      <c r="B101" s="32"/>
      <c r="C101" s="321"/>
      <c r="D101" s="2"/>
      <c r="E101" s="2"/>
      <c r="F101" s="2"/>
      <c r="G101" s="2"/>
      <c r="H101" s="2"/>
      <c r="I101" s="321"/>
      <c r="J101" s="321"/>
      <c r="K101" s="2"/>
      <c r="L101" s="2"/>
      <c r="M101" s="2"/>
      <c r="N101" s="321"/>
      <c r="O101" s="321"/>
      <c r="P101" s="2"/>
      <c r="Q101" s="2"/>
      <c r="R101" s="321"/>
      <c r="S101" s="321"/>
      <c r="T101" s="321"/>
      <c r="U101" s="634"/>
      <c r="V101" s="634"/>
      <c r="W101" s="634"/>
      <c r="X101" s="634"/>
      <c r="Z101" s="427"/>
      <c r="AA101" s="427"/>
      <c r="AB101" s="427"/>
      <c r="AC101" s="427"/>
      <c r="AD101" s="427"/>
      <c r="AE101" s="427"/>
      <c r="AF101" s="427"/>
      <c r="AG101" s="431"/>
      <c r="AH101" s="427"/>
      <c r="AI101" s="427"/>
      <c r="AJ101" s="427"/>
      <c r="AK101" s="427"/>
      <c r="AL101" s="427"/>
      <c r="AM101" s="427"/>
      <c r="AN101" s="427"/>
      <c r="AO101" s="427"/>
      <c r="AP101" s="427"/>
      <c r="AQ101" s="427"/>
    </row>
    <row r="102" spans="1:43">
      <c r="A102" s="322"/>
      <c r="B102" s="382"/>
      <c r="C102" s="382"/>
      <c r="D102" s="383"/>
      <c r="E102" s="383"/>
      <c r="F102" s="383"/>
      <c r="G102" s="383"/>
      <c r="H102" s="383"/>
      <c r="I102" s="382"/>
      <c r="J102" s="382"/>
      <c r="K102" s="383"/>
      <c r="L102" s="383"/>
      <c r="M102" s="383"/>
      <c r="N102" s="382"/>
      <c r="O102" s="382"/>
      <c r="P102" s="383"/>
      <c r="Q102" s="383"/>
      <c r="R102" s="382"/>
      <c r="S102" s="382"/>
      <c r="T102" s="382"/>
      <c r="U102" s="636"/>
      <c r="V102" s="636"/>
      <c r="W102" s="636"/>
      <c r="X102" s="636"/>
      <c r="Z102" s="426"/>
      <c r="AA102" s="426"/>
      <c r="AB102" s="426"/>
      <c r="AC102" s="426"/>
      <c r="AD102" s="426"/>
      <c r="AE102" s="426"/>
      <c r="AF102" s="426"/>
      <c r="AG102" s="429"/>
      <c r="AH102" s="426"/>
      <c r="AI102" s="426"/>
      <c r="AJ102" s="426"/>
      <c r="AK102" s="426"/>
      <c r="AL102" s="426"/>
      <c r="AM102" s="426"/>
      <c r="AN102" s="426"/>
      <c r="AO102" s="426"/>
      <c r="AP102" s="426"/>
      <c r="AQ102" s="426"/>
    </row>
    <row r="103" spans="1:43">
      <c r="A103" s="330"/>
      <c r="B103" s="417"/>
      <c r="C103" s="419"/>
      <c r="D103" s="599"/>
      <c r="E103" s="599"/>
      <c r="F103" s="599"/>
      <c r="G103" s="599"/>
      <c r="H103" s="599"/>
      <c r="I103" s="419"/>
      <c r="J103" s="419"/>
      <c r="K103" s="599"/>
      <c r="L103" s="599"/>
      <c r="M103" s="599"/>
      <c r="N103" s="419"/>
      <c r="O103" s="419"/>
      <c r="P103" s="599"/>
      <c r="Q103" s="599"/>
      <c r="R103" s="419"/>
      <c r="S103" s="419"/>
      <c r="T103" s="419"/>
      <c r="U103" s="637"/>
      <c r="V103" s="637"/>
      <c r="W103" s="637"/>
      <c r="X103" s="637"/>
      <c r="Z103" s="640"/>
      <c r="AA103" s="640"/>
      <c r="AB103" s="640"/>
      <c r="AC103" s="640"/>
      <c r="AD103" s="640"/>
      <c r="AE103" s="640"/>
      <c r="AF103" s="640"/>
      <c r="AG103" s="641"/>
      <c r="AH103" s="640"/>
      <c r="AI103" s="640"/>
      <c r="AJ103" s="640"/>
      <c r="AK103" s="640"/>
      <c r="AL103" s="640"/>
      <c r="AM103" s="640"/>
      <c r="AN103" s="640"/>
      <c r="AO103" s="640"/>
      <c r="AP103" s="640"/>
      <c r="AQ103" s="640"/>
    </row>
    <row r="104" spans="1:43">
      <c r="A104" s="329"/>
      <c r="B104" s="319"/>
      <c r="C104" s="323"/>
      <c r="D104" s="324"/>
      <c r="E104" s="324"/>
      <c r="F104" s="324"/>
      <c r="G104" s="324"/>
      <c r="H104" s="324"/>
      <c r="I104" s="323"/>
      <c r="J104" s="323"/>
      <c r="K104" s="324"/>
      <c r="L104" s="324"/>
      <c r="M104" s="324"/>
      <c r="N104" s="323"/>
      <c r="O104" s="323"/>
      <c r="P104" s="324"/>
      <c r="Q104" s="324"/>
      <c r="R104" s="323"/>
      <c r="S104" s="323"/>
      <c r="T104" s="323"/>
      <c r="U104" s="633"/>
      <c r="V104" s="633"/>
      <c r="W104" s="633"/>
      <c r="X104" s="633"/>
      <c r="Z104" s="427"/>
      <c r="AA104" s="427"/>
      <c r="AB104" s="427"/>
      <c r="AC104" s="427"/>
      <c r="AD104" s="427"/>
      <c r="AE104" s="427"/>
      <c r="AF104" s="427"/>
      <c r="AG104" s="431"/>
      <c r="AH104" s="427"/>
      <c r="AI104" s="427"/>
      <c r="AJ104" s="427"/>
      <c r="AK104" s="427"/>
      <c r="AL104" s="427"/>
      <c r="AM104" s="427"/>
      <c r="AN104" s="427"/>
      <c r="AO104" s="427"/>
      <c r="AP104" s="427"/>
      <c r="AQ104" s="427"/>
    </row>
    <row r="105" spans="1:43">
      <c r="A105" s="322"/>
      <c r="B105" s="32"/>
      <c r="C105" s="321"/>
      <c r="D105" s="2"/>
      <c r="E105" s="2"/>
      <c r="F105" s="2"/>
      <c r="G105" s="2"/>
      <c r="H105" s="2"/>
      <c r="I105" s="321"/>
      <c r="J105" s="321"/>
      <c r="K105" s="2"/>
      <c r="L105" s="2"/>
      <c r="M105" s="2"/>
      <c r="N105" s="321"/>
      <c r="O105" s="321"/>
      <c r="P105" s="2"/>
      <c r="Q105" s="2"/>
      <c r="R105" s="321"/>
      <c r="S105" s="321"/>
      <c r="T105" s="321"/>
      <c r="U105" s="634"/>
      <c r="V105" s="634"/>
      <c r="W105" s="634"/>
      <c r="X105" s="634"/>
      <c r="Z105" s="427"/>
      <c r="AA105" s="427"/>
      <c r="AB105" s="427"/>
      <c r="AC105" s="427"/>
      <c r="AD105" s="427"/>
      <c r="AE105" s="427"/>
      <c r="AF105" s="427"/>
      <c r="AG105" s="431"/>
      <c r="AH105" s="427"/>
      <c r="AI105" s="427"/>
      <c r="AJ105" s="427"/>
      <c r="AK105" s="427"/>
      <c r="AL105" s="427"/>
      <c r="AM105" s="427"/>
      <c r="AN105" s="427"/>
      <c r="AO105" s="427"/>
      <c r="AP105" s="427"/>
      <c r="AQ105" s="427"/>
    </row>
    <row r="106" spans="1:43">
      <c r="A106" s="322"/>
      <c r="B106" s="369"/>
      <c r="C106" s="369"/>
      <c r="D106" s="370"/>
      <c r="E106" s="370"/>
      <c r="F106" s="370"/>
      <c r="G106" s="370"/>
      <c r="H106" s="370"/>
      <c r="I106" s="369"/>
      <c r="J106" s="369"/>
      <c r="K106" s="370"/>
      <c r="L106" s="370"/>
      <c r="M106" s="370"/>
      <c r="N106" s="369"/>
      <c r="O106" s="369"/>
      <c r="P106" s="370"/>
      <c r="Q106" s="370"/>
      <c r="R106" s="369"/>
      <c r="S106" s="369"/>
      <c r="T106" s="369"/>
      <c r="U106" s="635"/>
      <c r="V106" s="635"/>
      <c r="W106" s="635"/>
      <c r="X106" s="635"/>
      <c r="Z106" s="426"/>
      <c r="AA106" s="426"/>
      <c r="AB106" s="426"/>
      <c r="AC106" s="426"/>
      <c r="AD106" s="426"/>
      <c r="AE106" s="426"/>
      <c r="AF106" s="426"/>
      <c r="AG106" s="429"/>
      <c r="AH106" s="426"/>
      <c r="AI106" s="426"/>
      <c r="AJ106" s="426"/>
      <c r="AK106" s="426"/>
      <c r="AL106" s="426"/>
      <c r="AM106" s="426"/>
      <c r="AN106" s="426"/>
      <c r="AO106" s="426"/>
      <c r="AP106" s="426"/>
      <c r="AQ106" s="426"/>
    </row>
    <row r="107" spans="1:43">
      <c r="A107" s="322"/>
      <c r="B107" s="32"/>
      <c r="C107" s="321"/>
      <c r="D107" s="2"/>
      <c r="E107" s="2"/>
      <c r="F107" s="2"/>
      <c r="G107" s="2"/>
      <c r="H107" s="2"/>
      <c r="I107" s="321"/>
      <c r="J107" s="321"/>
      <c r="K107" s="2"/>
      <c r="L107" s="2"/>
      <c r="M107" s="2"/>
      <c r="N107" s="321"/>
      <c r="O107" s="321"/>
      <c r="P107" s="2"/>
      <c r="Q107" s="2"/>
      <c r="R107" s="321"/>
      <c r="S107" s="321"/>
      <c r="T107" s="321"/>
      <c r="U107" s="634"/>
      <c r="V107" s="634"/>
      <c r="W107" s="634"/>
      <c r="X107" s="634"/>
      <c r="Z107" s="108"/>
      <c r="AA107" s="108"/>
      <c r="AB107" s="108"/>
      <c r="AC107" s="108"/>
      <c r="AD107" s="108"/>
      <c r="AE107" s="108"/>
      <c r="AF107" s="108"/>
      <c r="AG107" s="430"/>
      <c r="AH107" s="108"/>
      <c r="AI107" s="108"/>
      <c r="AJ107" s="108"/>
      <c r="AK107" s="108"/>
      <c r="AL107" s="108"/>
      <c r="AM107" s="108"/>
      <c r="AN107" s="108"/>
      <c r="AO107" s="108"/>
      <c r="AP107" s="108"/>
      <c r="AQ107" s="108"/>
    </row>
    <row r="108" spans="1:43">
      <c r="A108" s="322"/>
      <c r="B108" s="32"/>
      <c r="C108" s="321"/>
      <c r="D108" s="2"/>
      <c r="E108" s="2"/>
      <c r="F108" s="2"/>
      <c r="G108" s="2"/>
      <c r="H108" s="2"/>
      <c r="I108" s="321"/>
      <c r="J108" s="321"/>
      <c r="K108" s="2"/>
      <c r="L108" s="2"/>
      <c r="M108" s="2"/>
      <c r="N108" s="321"/>
      <c r="O108" s="321"/>
      <c r="P108" s="2"/>
      <c r="Q108" s="2"/>
      <c r="R108" s="321"/>
      <c r="S108" s="321"/>
      <c r="T108" s="321"/>
      <c r="U108" s="634"/>
      <c r="V108" s="634"/>
      <c r="W108" s="634"/>
      <c r="X108" s="634"/>
      <c r="Z108" s="427"/>
      <c r="AA108" s="427"/>
      <c r="AB108" s="427"/>
      <c r="AC108" s="427"/>
      <c r="AD108" s="427"/>
      <c r="AE108" s="427"/>
      <c r="AF108" s="427"/>
      <c r="AG108" s="431"/>
      <c r="AH108" s="427"/>
      <c r="AI108" s="427"/>
      <c r="AJ108" s="427"/>
      <c r="AK108" s="427"/>
      <c r="AL108" s="427"/>
      <c r="AM108" s="427"/>
      <c r="AN108" s="427"/>
      <c r="AO108" s="427"/>
      <c r="AP108" s="427"/>
      <c r="AQ108" s="427"/>
    </row>
    <row r="109" spans="1:43">
      <c r="A109" s="322"/>
      <c r="B109" s="382"/>
      <c r="C109" s="382"/>
      <c r="D109" s="383"/>
      <c r="E109" s="383"/>
      <c r="F109" s="383"/>
      <c r="G109" s="383"/>
      <c r="H109" s="383"/>
      <c r="I109" s="382"/>
      <c r="J109" s="382"/>
      <c r="K109" s="383"/>
      <c r="L109" s="383"/>
      <c r="M109" s="383"/>
      <c r="N109" s="382"/>
      <c r="O109" s="382"/>
      <c r="P109" s="383"/>
      <c r="Q109" s="383"/>
      <c r="R109" s="382"/>
      <c r="S109" s="382"/>
      <c r="T109" s="382"/>
      <c r="U109" s="636"/>
      <c r="V109" s="636"/>
      <c r="W109" s="636"/>
      <c r="X109" s="636"/>
      <c r="Z109" s="426"/>
      <c r="AA109" s="426"/>
      <c r="AB109" s="426"/>
      <c r="AC109" s="426"/>
      <c r="AD109" s="426"/>
      <c r="AE109" s="426"/>
      <c r="AF109" s="426"/>
      <c r="AG109" s="429"/>
      <c r="AH109" s="426"/>
      <c r="AI109" s="426"/>
      <c r="AJ109" s="426"/>
      <c r="AK109" s="426"/>
      <c r="AL109" s="426"/>
      <c r="AM109" s="426"/>
      <c r="AN109" s="426"/>
      <c r="AO109" s="426"/>
      <c r="AP109" s="426"/>
      <c r="AQ109" s="426"/>
    </row>
    <row r="110" spans="1:43">
      <c r="A110" s="330"/>
      <c r="B110" s="417"/>
      <c r="C110" s="419"/>
      <c r="D110" s="599"/>
      <c r="E110" s="599"/>
      <c r="F110" s="599"/>
      <c r="G110" s="599"/>
      <c r="H110" s="599"/>
      <c r="I110" s="419"/>
      <c r="J110" s="419"/>
      <c r="K110" s="599"/>
      <c r="L110" s="599"/>
      <c r="M110" s="599"/>
      <c r="N110" s="419"/>
      <c r="O110" s="419"/>
      <c r="P110" s="599"/>
      <c r="Q110" s="599"/>
      <c r="R110" s="419"/>
      <c r="S110" s="419"/>
      <c r="T110" s="419"/>
      <c r="U110" s="637"/>
      <c r="V110" s="637"/>
      <c r="W110" s="637"/>
      <c r="X110" s="637"/>
      <c r="Z110" s="640"/>
      <c r="AA110" s="640"/>
      <c r="AB110" s="640"/>
      <c r="AC110" s="640"/>
      <c r="AD110" s="640"/>
      <c r="AE110" s="640"/>
      <c r="AF110" s="640"/>
      <c r="AG110" s="641"/>
      <c r="AH110" s="640"/>
      <c r="AI110" s="640"/>
      <c r="AJ110" s="640"/>
      <c r="AK110" s="640"/>
      <c r="AL110" s="640"/>
      <c r="AM110" s="640"/>
      <c r="AN110" s="640"/>
      <c r="AO110" s="640"/>
      <c r="AP110" s="640"/>
      <c r="AQ110" s="640"/>
    </row>
    <row r="111" spans="1:43">
      <c r="A111" s="329"/>
      <c r="B111" s="319"/>
      <c r="C111" s="323"/>
      <c r="D111" s="324"/>
      <c r="E111" s="324"/>
      <c r="F111" s="324"/>
      <c r="G111" s="324"/>
      <c r="H111" s="324"/>
      <c r="I111" s="323"/>
      <c r="J111" s="323"/>
      <c r="K111" s="324"/>
      <c r="L111" s="324"/>
      <c r="M111" s="324"/>
      <c r="N111" s="323"/>
      <c r="O111" s="323"/>
      <c r="P111" s="324"/>
      <c r="Q111" s="324"/>
      <c r="R111" s="323"/>
      <c r="S111" s="323"/>
      <c r="T111" s="323"/>
      <c r="U111" s="633"/>
      <c r="V111" s="633"/>
      <c r="W111" s="633"/>
      <c r="X111" s="633"/>
      <c r="Z111" s="427"/>
      <c r="AA111" s="427"/>
      <c r="AB111" s="427"/>
      <c r="AC111" s="427"/>
      <c r="AD111" s="427"/>
      <c r="AE111" s="427"/>
      <c r="AF111" s="427"/>
      <c r="AG111" s="431"/>
      <c r="AH111" s="427"/>
      <c r="AI111" s="427"/>
      <c r="AJ111" s="427"/>
      <c r="AK111" s="427"/>
      <c r="AL111" s="427"/>
      <c r="AM111" s="427"/>
      <c r="AN111" s="427"/>
      <c r="AO111" s="427"/>
      <c r="AP111" s="427"/>
      <c r="AQ111" s="427"/>
    </row>
    <row r="112" spans="1:43">
      <c r="A112" s="322"/>
      <c r="B112" s="32"/>
      <c r="C112" s="321"/>
      <c r="D112" s="2"/>
      <c r="E112" s="2"/>
      <c r="F112" s="2"/>
      <c r="G112" s="2"/>
      <c r="H112" s="2"/>
      <c r="I112" s="321"/>
      <c r="J112" s="321"/>
      <c r="K112" s="2"/>
      <c r="L112" s="2"/>
      <c r="M112" s="2"/>
      <c r="N112" s="321"/>
      <c r="O112" s="321"/>
      <c r="P112" s="2"/>
      <c r="Q112" s="2"/>
      <c r="R112" s="321"/>
      <c r="S112" s="321"/>
      <c r="T112" s="321"/>
      <c r="U112" s="634"/>
      <c r="V112" s="634"/>
      <c r="W112" s="634"/>
      <c r="X112" s="634"/>
      <c r="Z112" s="427"/>
      <c r="AA112" s="427"/>
      <c r="AB112" s="427"/>
      <c r="AC112" s="427"/>
      <c r="AD112" s="427"/>
      <c r="AE112" s="427"/>
      <c r="AF112" s="427"/>
      <c r="AG112" s="431"/>
      <c r="AH112" s="427"/>
      <c r="AI112" s="427"/>
      <c r="AJ112" s="427"/>
      <c r="AK112" s="427"/>
      <c r="AL112" s="427"/>
      <c r="AM112" s="427"/>
      <c r="AN112" s="427"/>
      <c r="AO112" s="427"/>
      <c r="AP112" s="427"/>
      <c r="AQ112" s="427"/>
    </row>
    <row r="113" spans="1:43">
      <c r="A113" s="322"/>
      <c r="B113" s="369"/>
      <c r="C113" s="369"/>
      <c r="D113" s="370"/>
      <c r="E113" s="370"/>
      <c r="F113" s="370"/>
      <c r="G113" s="370"/>
      <c r="H113" s="370"/>
      <c r="I113" s="369"/>
      <c r="J113" s="369"/>
      <c r="K113" s="370"/>
      <c r="L113" s="370"/>
      <c r="M113" s="370"/>
      <c r="N113" s="369"/>
      <c r="O113" s="369"/>
      <c r="P113" s="370"/>
      <c r="Q113" s="370"/>
      <c r="R113" s="369"/>
      <c r="S113" s="369"/>
      <c r="T113" s="369"/>
      <c r="U113" s="635"/>
      <c r="V113" s="635"/>
      <c r="W113" s="635"/>
      <c r="X113" s="635"/>
      <c r="Z113" s="426"/>
      <c r="AA113" s="426"/>
      <c r="AB113" s="426"/>
      <c r="AC113" s="426"/>
      <c r="AD113" s="426"/>
      <c r="AE113" s="426"/>
      <c r="AF113" s="426"/>
      <c r="AG113" s="429"/>
      <c r="AH113" s="426"/>
      <c r="AI113" s="426"/>
      <c r="AJ113" s="426"/>
      <c r="AK113" s="426"/>
      <c r="AL113" s="426"/>
      <c r="AM113" s="426"/>
      <c r="AN113" s="426"/>
      <c r="AO113" s="426"/>
      <c r="AP113" s="426"/>
      <c r="AQ113" s="426"/>
    </row>
    <row r="114" spans="1:43">
      <c r="A114" s="322"/>
      <c r="B114" s="32"/>
      <c r="C114" s="321"/>
      <c r="D114" s="2"/>
      <c r="E114" s="2"/>
      <c r="F114" s="2"/>
      <c r="G114" s="2"/>
      <c r="H114" s="2"/>
      <c r="I114" s="321"/>
      <c r="J114" s="321"/>
      <c r="K114" s="2"/>
      <c r="L114" s="2"/>
      <c r="M114" s="2"/>
      <c r="N114" s="321"/>
      <c r="O114" s="321"/>
      <c r="P114" s="2"/>
      <c r="Q114" s="2"/>
      <c r="R114" s="321"/>
      <c r="S114" s="321"/>
      <c r="T114" s="321"/>
      <c r="U114" s="634"/>
      <c r="V114" s="634"/>
      <c r="W114" s="634"/>
      <c r="X114" s="634"/>
      <c r="Z114" s="108"/>
      <c r="AA114" s="108"/>
      <c r="AB114" s="108"/>
      <c r="AC114" s="108"/>
      <c r="AD114" s="108"/>
      <c r="AE114" s="108"/>
      <c r="AF114" s="108"/>
      <c r="AG114" s="430"/>
      <c r="AH114" s="108"/>
      <c r="AI114" s="108"/>
      <c r="AJ114" s="108"/>
      <c r="AK114" s="108"/>
      <c r="AL114" s="108"/>
      <c r="AM114" s="108"/>
      <c r="AN114" s="108"/>
      <c r="AO114" s="108"/>
      <c r="AP114" s="108"/>
      <c r="AQ114" s="108"/>
    </row>
    <row r="115" spans="1:43">
      <c r="A115" s="322"/>
      <c r="B115" s="32"/>
      <c r="C115" s="321"/>
      <c r="D115" s="2"/>
      <c r="E115" s="2"/>
      <c r="F115" s="2"/>
      <c r="G115" s="2"/>
      <c r="H115" s="2"/>
      <c r="I115" s="321"/>
      <c r="J115" s="321"/>
      <c r="K115" s="2"/>
      <c r="L115" s="2"/>
      <c r="M115" s="2"/>
      <c r="N115" s="321"/>
      <c r="O115" s="321"/>
      <c r="P115" s="2"/>
      <c r="Q115" s="2"/>
      <c r="R115" s="321"/>
      <c r="S115" s="321"/>
      <c r="T115" s="321"/>
      <c r="U115" s="634"/>
      <c r="V115" s="634"/>
      <c r="W115" s="634"/>
      <c r="X115" s="634"/>
      <c r="Z115" s="427"/>
      <c r="AA115" s="427"/>
      <c r="AB115" s="427"/>
      <c r="AC115" s="427"/>
      <c r="AD115" s="427"/>
      <c r="AE115" s="427"/>
      <c r="AF115" s="427"/>
      <c r="AG115" s="431"/>
      <c r="AH115" s="427"/>
      <c r="AI115" s="427"/>
      <c r="AJ115" s="427"/>
      <c r="AK115" s="427"/>
      <c r="AL115" s="427"/>
      <c r="AM115" s="427"/>
      <c r="AN115" s="427"/>
      <c r="AO115" s="427"/>
      <c r="AP115" s="427"/>
      <c r="AQ115" s="427"/>
    </row>
    <row r="116" spans="1:43">
      <c r="A116" s="322"/>
      <c r="B116" s="382"/>
      <c r="C116" s="382"/>
      <c r="D116" s="383"/>
      <c r="E116" s="383"/>
      <c r="F116" s="383"/>
      <c r="G116" s="383"/>
      <c r="H116" s="383"/>
      <c r="I116" s="382"/>
      <c r="J116" s="382"/>
      <c r="K116" s="383"/>
      <c r="L116" s="383"/>
      <c r="M116" s="383"/>
      <c r="N116" s="382"/>
      <c r="O116" s="382"/>
      <c r="P116" s="383"/>
      <c r="Q116" s="383"/>
      <c r="R116" s="382"/>
      <c r="S116" s="382"/>
      <c r="T116" s="382"/>
      <c r="U116" s="636"/>
      <c r="V116" s="636"/>
      <c r="W116" s="636"/>
      <c r="X116" s="636"/>
      <c r="Z116" s="426"/>
      <c r="AA116" s="426"/>
      <c r="AB116" s="426"/>
      <c r="AC116" s="426"/>
      <c r="AD116" s="426"/>
      <c r="AE116" s="426"/>
      <c r="AF116" s="426"/>
      <c r="AG116" s="429"/>
      <c r="AH116" s="426"/>
      <c r="AI116" s="426"/>
      <c r="AJ116" s="426"/>
      <c r="AK116" s="426"/>
      <c r="AL116" s="426"/>
      <c r="AM116" s="426"/>
      <c r="AN116" s="426"/>
      <c r="AO116" s="426"/>
      <c r="AP116" s="426"/>
      <c r="AQ116" s="426"/>
    </row>
    <row r="117" spans="1:43">
      <c r="A117" s="330"/>
      <c r="B117" s="417"/>
      <c r="C117" s="419"/>
      <c r="D117" s="599"/>
      <c r="E117" s="599"/>
      <c r="F117" s="599"/>
      <c r="G117" s="599"/>
      <c r="H117" s="599"/>
      <c r="I117" s="419"/>
      <c r="J117" s="419"/>
      <c r="K117" s="599"/>
      <c r="L117" s="599"/>
      <c r="M117" s="599"/>
      <c r="N117" s="419"/>
      <c r="O117" s="419"/>
      <c r="P117" s="599"/>
      <c r="Q117" s="599"/>
      <c r="R117" s="419"/>
      <c r="S117" s="419"/>
      <c r="T117" s="419"/>
      <c r="U117" s="637"/>
      <c r="V117" s="637"/>
      <c r="W117" s="637"/>
      <c r="X117" s="637"/>
      <c r="Z117" s="640"/>
      <c r="AA117" s="640"/>
      <c r="AB117" s="640"/>
      <c r="AC117" s="640"/>
      <c r="AD117" s="640"/>
      <c r="AE117" s="640"/>
      <c r="AF117" s="640"/>
      <c r="AG117" s="641"/>
      <c r="AH117" s="640"/>
      <c r="AI117" s="640"/>
      <c r="AJ117" s="640"/>
      <c r="AK117" s="640"/>
      <c r="AL117" s="640"/>
      <c r="AM117" s="640"/>
      <c r="AN117" s="640"/>
      <c r="AO117" s="640"/>
      <c r="AP117" s="640"/>
      <c r="AQ117" s="640"/>
    </row>
    <row r="118" spans="1:43">
      <c r="A118" s="329"/>
      <c r="B118" s="319"/>
      <c r="C118" s="323"/>
      <c r="D118" s="324"/>
      <c r="E118" s="324"/>
      <c r="F118" s="324"/>
      <c r="G118" s="324"/>
      <c r="H118" s="324"/>
      <c r="I118" s="323"/>
      <c r="J118" s="323"/>
      <c r="K118" s="324"/>
      <c r="L118" s="324"/>
      <c r="M118" s="324"/>
      <c r="N118" s="323"/>
      <c r="O118" s="323"/>
      <c r="P118" s="324"/>
      <c r="Q118" s="324"/>
      <c r="R118" s="323"/>
      <c r="S118" s="323"/>
      <c r="T118" s="323"/>
      <c r="U118" s="633"/>
      <c r="V118" s="633"/>
      <c r="W118" s="633"/>
      <c r="X118" s="633"/>
      <c r="Z118" s="427"/>
      <c r="AA118" s="427"/>
      <c r="AB118" s="427"/>
      <c r="AC118" s="427"/>
      <c r="AD118" s="427"/>
      <c r="AE118" s="427"/>
      <c r="AF118" s="427"/>
      <c r="AG118" s="431"/>
      <c r="AH118" s="427"/>
      <c r="AI118" s="427"/>
      <c r="AJ118" s="427"/>
      <c r="AK118" s="427"/>
      <c r="AL118" s="427"/>
      <c r="AM118" s="427"/>
      <c r="AN118" s="427"/>
      <c r="AO118" s="427"/>
      <c r="AP118" s="427"/>
      <c r="AQ118" s="427"/>
    </row>
    <row r="119" spans="1:43">
      <c r="A119" s="322"/>
      <c r="B119" s="32"/>
      <c r="C119" s="321"/>
      <c r="D119" s="2"/>
      <c r="E119" s="2"/>
      <c r="F119" s="2"/>
      <c r="G119" s="2"/>
      <c r="H119" s="2"/>
      <c r="I119" s="321"/>
      <c r="J119" s="321"/>
      <c r="K119" s="2"/>
      <c r="L119" s="2"/>
      <c r="M119" s="2"/>
      <c r="N119" s="321"/>
      <c r="O119" s="321"/>
      <c r="P119" s="2"/>
      <c r="Q119" s="2"/>
      <c r="R119" s="321"/>
      <c r="S119" s="321"/>
      <c r="T119" s="321"/>
      <c r="U119" s="634"/>
      <c r="V119" s="634"/>
      <c r="W119" s="634"/>
      <c r="X119" s="634"/>
      <c r="Z119" s="427"/>
      <c r="AA119" s="427"/>
      <c r="AB119" s="427"/>
      <c r="AC119" s="427"/>
      <c r="AD119" s="427"/>
      <c r="AE119" s="427"/>
      <c r="AF119" s="427"/>
      <c r="AG119" s="431"/>
      <c r="AH119" s="427"/>
      <c r="AI119" s="427"/>
      <c r="AJ119" s="427"/>
      <c r="AK119" s="427"/>
      <c r="AL119" s="427"/>
      <c r="AM119" s="427"/>
      <c r="AN119" s="427"/>
      <c r="AO119" s="427"/>
      <c r="AP119" s="427"/>
      <c r="AQ119" s="427"/>
    </row>
    <row r="120" spans="1:43">
      <c r="A120" s="322"/>
      <c r="B120" s="369"/>
      <c r="C120" s="369"/>
      <c r="D120" s="370"/>
      <c r="E120" s="370"/>
      <c r="F120" s="370"/>
      <c r="G120" s="370"/>
      <c r="H120" s="370"/>
      <c r="I120" s="369"/>
      <c r="J120" s="369"/>
      <c r="K120" s="370"/>
      <c r="L120" s="370"/>
      <c r="M120" s="370"/>
      <c r="N120" s="369"/>
      <c r="O120" s="369"/>
      <c r="P120" s="370"/>
      <c r="Q120" s="370"/>
      <c r="R120" s="369"/>
      <c r="S120" s="369"/>
      <c r="T120" s="369"/>
      <c r="U120" s="635"/>
      <c r="V120" s="635"/>
      <c r="W120" s="635"/>
      <c r="X120" s="635"/>
      <c r="Z120" s="426"/>
      <c r="AA120" s="426"/>
      <c r="AB120" s="426"/>
      <c r="AC120" s="426"/>
      <c r="AD120" s="426"/>
      <c r="AE120" s="426"/>
      <c r="AF120" s="426"/>
      <c r="AG120" s="429"/>
      <c r="AH120" s="426"/>
      <c r="AI120" s="426"/>
      <c r="AJ120" s="426"/>
      <c r="AK120" s="426"/>
      <c r="AL120" s="426"/>
      <c r="AM120" s="426"/>
      <c r="AN120" s="426"/>
      <c r="AO120" s="426"/>
      <c r="AP120" s="426"/>
      <c r="AQ120" s="426"/>
    </row>
    <row r="121" spans="1:43">
      <c r="A121" s="322"/>
      <c r="B121" s="32"/>
      <c r="C121" s="321"/>
      <c r="D121" s="2"/>
      <c r="E121" s="2"/>
      <c r="F121" s="2"/>
      <c r="G121" s="2"/>
      <c r="H121" s="2"/>
      <c r="I121" s="321"/>
      <c r="J121" s="321"/>
      <c r="K121" s="2"/>
      <c r="L121" s="2"/>
      <c r="M121" s="2"/>
      <c r="N121" s="321"/>
      <c r="O121" s="321"/>
      <c r="P121" s="2"/>
      <c r="Q121" s="2"/>
      <c r="R121" s="321"/>
      <c r="S121" s="321"/>
      <c r="T121" s="321"/>
      <c r="U121" s="634"/>
      <c r="V121" s="634"/>
      <c r="W121" s="634"/>
      <c r="X121" s="634"/>
      <c r="Z121" s="108"/>
      <c r="AA121" s="108"/>
      <c r="AB121" s="108"/>
      <c r="AC121" s="108"/>
      <c r="AD121" s="108"/>
      <c r="AE121" s="108"/>
      <c r="AF121" s="108"/>
      <c r="AG121" s="430"/>
      <c r="AH121" s="108"/>
      <c r="AI121" s="108"/>
      <c r="AJ121" s="108"/>
      <c r="AK121" s="108"/>
      <c r="AL121" s="108"/>
      <c r="AM121" s="108"/>
      <c r="AN121" s="108"/>
      <c r="AO121" s="108"/>
      <c r="AP121" s="108"/>
      <c r="AQ121" s="108"/>
    </row>
    <row r="122" spans="1:43">
      <c r="A122" s="322"/>
      <c r="B122" s="32"/>
      <c r="C122" s="321"/>
      <c r="D122" s="2"/>
      <c r="E122" s="2"/>
      <c r="F122" s="2"/>
      <c r="G122" s="2"/>
      <c r="H122" s="2"/>
      <c r="I122" s="321"/>
      <c r="J122" s="321"/>
      <c r="K122" s="2"/>
      <c r="L122" s="2"/>
      <c r="M122" s="2"/>
      <c r="N122" s="321"/>
      <c r="O122" s="321"/>
      <c r="P122" s="2"/>
      <c r="Q122" s="2"/>
      <c r="R122" s="321"/>
      <c r="S122" s="321"/>
      <c r="T122" s="321"/>
      <c r="U122" s="634"/>
      <c r="V122" s="634"/>
      <c r="W122" s="634"/>
      <c r="X122" s="634"/>
      <c r="Z122" s="427"/>
      <c r="AA122" s="427"/>
      <c r="AB122" s="427"/>
      <c r="AC122" s="427"/>
      <c r="AD122" s="427"/>
      <c r="AE122" s="427"/>
      <c r="AF122" s="427"/>
      <c r="AG122" s="431"/>
      <c r="AH122" s="427"/>
      <c r="AI122" s="427"/>
      <c r="AJ122" s="427"/>
      <c r="AK122" s="427"/>
      <c r="AL122" s="427"/>
      <c r="AM122" s="427"/>
      <c r="AN122" s="427"/>
      <c r="AO122" s="427"/>
      <c r="AP122" s="427"/>
      <c r="AQ122" s="427"/>
    </row>
    <row r="123" spans="1:43">
      <c r="A123" s="322"/>
      <c r="B123" s="382"/>
      <c r="C123" s="382"/>
      <c r="D123" s="383"/>
      <c r="E123" s="383"/>
      <c r="F123" s="383"/>
      <c r="G123" s="383"/>
      <c r="H123" s="383"/>
      <c r="I123" s="382"/>
      <c r="J123" s="382"/>
      <c r="K123" s="383"/>
      <c r="L123" s="383"/>
      <c r="M123" s="383"/>
      <c r="N123" s="382"/>
      <c r="O123" s="382"/>
      <c r="P123" s="383"/>
      <c r="Q123" s="383"/>
      <c r="R123" s="382"/>
      <c r="S123" s="382"/>
      <c r="T123" s="382"/>
      <c r="U123" s="636"/>
      <c r="V123" s="636"/>
      <c r="W123" s="636"/>
      <c r="X123" s="636"/>
      <c r="Z123" s="426"/>
      <c r="AA123" s="426"/>
      <c r="AB123" s="426"/>
      <c r="AC123" s="426"/>
      <c r="AD123" s="426"/>
      <c r="AE123" s="426"/>
      <c r="AF123" s="426"/>
      <c r="AG123" s="429"/>
      <c r="AH123" s="426"/>
      <c r="AI123" s="426"/>
      <c r="AJ123" s="426"/>
      <c r="AK123" s="426"/>
      <c r="AL123" s="426"/>
      <c r="AM123" s="426"/>
      <c r="AN123" s="426"/>
      <c r="AO123" s="426"/>
      <c r="AP123" s="426"/>
      <c r="AQ123" s="426"/>
    </row>
    <row r="124" spans="1:43" ht="13.5" thickBot="1">
      <c r="A124" s="330"/>
      <c r="B124" s="628"/>
      <c r="C124" s="629"/>
      <c r="D124" s="638"/>
      <c r="E124" s="638"/>
      <c r="F124" s="638"/>
      <c r="G124" s="638"/>
      <c r="H124" s="638"/>
      <c r="I124" s="629"/>
      <c r="J124" s="629"/>
      <c r="K124" s="638"/>
      <c r="L124" s="638"/>
      <c r="M124" s="638"/>
      <c r="N124" s="629"/>
      <c r="O124" s="629"/>
      <c r="P124" s="638"/>
      <c r="Q124" s="638"/>
      <c r="R124" s="629"/>
      <c r="S124" s="629"/>
      <c r="T124" s="629"/>
      <c r="U124" s="639"/>
      <c r="V124" s="639"/>
      <c r="W124" s="639"/>
      <c r="X124" s="639"/>
      <c r="Z124" s="640"/>
      <c r="AA124" s="640"/>
      <c r="AB124" s="640"/>
      <c r="AC124" s="640"/>
      <c r="AD124" s="640"/>
      <c r="AE124" s="640"/>
      <c r="AF124" s="640"/>
      <c r="AG124" s="641"/>
      <c r="AH124" s="640"/>
      <c r="AI124" s="640"/>
      <c r="AJ124" s="640"/>
      <c r="AK124" s="640"/>
      <c r="AL124" s="640"/>
      <c r="AM124" s="640"/>
      <c r="AN124" s="640"/>
      <c r="AO124" s="640"/>
      <c r="AP124" s="640"/>
      <c r="AQ124" s="640"/>
    </row>
    <row r="125" spans="1:43" ht="15.75" thickBot="1">
      <c r="A125"/>
      <c r="B125"/>
      <c r="C125"/>
      <c r="D125"/>
      <c r="E125"/>
      <c r="F125"/>
      <c r="G125"/>
      <c r="H125"/>
      <c r="I125"/>
      <c r="J125"/>
      <c r="K125"/>
      <c r="L125"/>
      <c r="M125"/>
      <c r="N125"/>
      <c r="O125"/>
      <c r="P125"/>
      <c r="Q125"/>
      <c r="R125"/>
      <c r="S125"/>
      <c r="T125"/>
      <c r="V125" s="626"/>
      <c r="W125" s="627"/>
      <c r="X125" s="627"/>
      <c r="Y125" s="570"/>
      <c r="Z125" s="642"/>
      <c r="AA125" s="642"/>
      <c r="AB125" s="642"/>
      <c r="AC125" s="642"/>
      <c r="AD125" s="642"/>
      <c r="AE125" s="642"/>
      <c r="AF125" s="642"/>
      <c r="AG125" s="643"/>
      <c r="AH125" s="642"/>
      <c r="AI125" s="642"/>
      <c r="AJ125" s="642"/>
      <c r="AK125" s="642"/>
      <c r="AL125" s="642"/>
      <c r="AM125" s="642"/>
      <c r="AN125" s="642"/>
      <c r="AO125" s="642"/>
      <c r="AP125" s="642"/>
      <c r="AQ125" s="644"/>
    </row>
    <row r="126" spans="1:43">
      <c r="A126"/>
      <c r="B126"/>
      <c r="C126"/>
      <c r="D126"/>
      <c r="E126"/>
      <c r="F126"/>
      <c r="G126"/>
      <c r="H126"/>
      <c r="I126"/>
      <c r="J126"/>
      <c r="K126"/>
      <c r="L126"/>
      <c r="M126"/>
      <c r="N126"/>
      <c r="O126"/>
      <c r="P126"/>
      <c r="Q126"/>
      <c r="R126"/>
      <c r="S126"/>
      <c r="T126"/>
    </row>
    <row r="127" spans="1:43">
      <c r="A127"/>
      <c r="B127"/>
      <c r="C127"/>
      <c r="D127"/>
      <c r="E127"/>
      <c r="F127"/>
      <c r="G127"/>
      <c r="H127"/>
      <c r="I127"/>
      <c r="J127"/>
      <c r="K127"/>
      <c r="L127"/>
      <c r="M127"/>
      <c r="N127"/>
      <c r="O127"/>
      <c r="P127"/>
      <c r="Q127"/>
      <c r="R127"/>
      <c r="S127"/>
      <c r="T127"/>
    </row>
    <row r="128" spans="1:43">
      <c r="A128"/>
      <c r="B128"/>
      <c r="C128"/>
      <c r="D128"/>
      <c r="E128"/>
      <c r="F128"/>
      <c r="G128"/>
      <c r="H128"/>
      <c r="I128"/>
      <c r="J128"/>
      <c r="K128"/>
      <c r="L128"/>
      <c r="M128"/>
      <c r="N128"/>
      <c r="O128"/>
      <c r="P128"/>
      <c r="Q128"/>
      <c r="R128"/>
      <c r="S128"/>
      <c r="T128"/>
    </row>
    <row r="129" spans="1:20">
      <c r="A129"/>
      <c r="B129"/>
      <c r="C129"/>
      <c r="D129"/>
      <c r="E129"/>
      <c r="F129"/>
      <c r="G129"/>
      <c r="H129"/>
      <c r="I129"/>
      <c r="J129"/>
      <c r="K129"/>
      <c r="L129"/>
      <c r="M129"/>
      <c r="N129"/>
      <c r="O129"/>
      <c r="P129"/>
      <c r="Q129"/>
      <c r="R129"/>
      <c r="S129"/>
      <c r="T129"/>
    </row>
    <row r="130" spans="1:20">
      <c r="A130"/>
      <c r="B130"/>
      <c r="C130"/>
      <c r="D130"/>
      <c r="E130"/>
      <c r="F130"/>
      <c r="G130"/>
      <c r="H130"/>
      <c r="I130"/>
      <c r="J130"/>
      <c r="K130"/>
      <c r="L130"/>
      <c r="M130"/>
      <c r="N130"/>
      <c r="O130"/>
      <c r="P130"/>
      <c r="Q130"/>
      <c r="R130"/>
      <c r="S130"/>
      <c r="T130"/>
    </row>
    <row r="131" spans="1:20">
      <c r="A131"/>
      <c r="B131"/>
      <c r="C131"/>
      <c r="D131"/>
      <c r="E131"/>
      <c r="F131"/>
      <c r="G131"/>
      <c r="H131"/>
      <c r="I131"/>
      <c r="J131"/>
      <c r="K131"/>
      <c r="L131"/>
      <c r="M131"/>
      <c r="N131"/>
      <c r="O131"/>
      <c r="P131"/>
      <c r="Q131"/>
      <c r="R131"/>
      <c r="S131"/>
      <c r="T131"/>
    </row>
    <row r="132" spans="1:20">
      <c r="A132"/>
      <c r="B132"/>
      <c r="C132"/>
      <c r="D132"/>
      <c r="E132"/>
      <c r="F132"/>
      <c r="G132"/>
      <c r="H132"/>
      <c r="I132"/>
      <c r="J132"/>
      <c r="K132"/>
      <c r="L132"/>
      <c r="M132"/>
      <c r="N132"/>
      <c r="O132"/>
      <c r="P132"/>
      <c r="Q132"/>
      <c r="R132"/>
      <c r="S132"/>
      <c r="T132"/>
    </row>
    <row r="133" spans="1:20">
      <c r="A133"/>
      <c r="B133"/>
      <c r="C133"/>
      <c r="D133"/>
      <c r="E133"/>
      <c r="F133"/>
      <c r="G133"/>
      <c r="H133"/>
      <c r="I133"/>
      <c r="J133"/>
      <c r="K133"/>
      <c r="L133"/>
      <c r="M133"/>
      <c r="N133"/>
      <c r="O133"/>
      <c r="P133"/>
      <c r="Q133"/>
      <c r="R133"/>
      <c r="S133"/>
      <c r="T133"/>
    </row>
    <row r="134" spans="1:20">
      <c r="A134"/>
      <c r="B134"/>
      <c r="C134"/>
      <c r="D134"/>
      <c r="E134"/>
      <c r="F134"/>
      <c r="G134"/>
      <c r="H134"/>
      <c r="I134"/>
      <c r="J134"/>
      <c r="K134"/>
      <c r="L134"/>
      <c r="M134"/>
      <c r="N134"/>
      <c r="O134"/>
      <c r="P134"/>
      <c r="Q134"/>
      <c r="R134"/>
      <c r="S134"/>
      <c r="T134"/>
    </row>
    <row r="135" spans="1:20">
      <c r="A135"/>
      <c r="B135"/>
      <c r="C135"/>
      <c r="D135"/>
      <c r="E135"/>
      <c r="F135"/>
      <c r="G135"/>
      <c r="H135"/>
      <c r="I135"/>
      <c r="J135"/>
      <c r="K135"/>
      <c r="L135"/>
      <c r="M135"/>
      <c r="N135"/>
      <c r="O135"/>
      <c r="P135"/>
      <c r="Q135"/>
      <c r="R135"/>
      <c r="S135"/>
      <c r="T135"/>
    </row>
    <row r="136" spans="1:20">
      <c r="A136"/>
      <c r="B136"/>
      <c r="C136"/>
      <c r="D136"/>
      <c r="E136"/>
      <c r="F136"/>
      <c r="G136"/>
      <c r="H136"/>
      <c r="I136"/>
      <c r="J136"/>
      <c r="K136"/>
      <c r="L136"/>
      <c r="M136"/>
      <c r="N136"/>
      <c r="O136"/>
      <c r="P136"/>
      <c r="Q136"/>
      <c r="R136"/>
      <c r="S136"/>
      <c r="T136"/>
    </row>
    <row r="137" spans="1:20">
      <c r="A137"/>
      <c r="B137"/>
      <c r="C137"/>
      <c r="D137"/>
      <c r="E137"/>
      <c r="F137"/>
      <c r="G137"/>
      <c r="H137"/>
      <c r="I137"/>
      <c r="J137"/>
      <c r="K137"/>
      <c r="L137"/>
      <c r="M137"/>
      <c r="N137"/>
      <c r="O137"/>
      <c r="P137"/>
      <c r="Q137"/>
      <c r="R137"/>
      <c r="S137"/>
      <c r="T137"/>
    </row>
    <row r="138" spans="1:20">
      <c r="A138"/>
      <c r="B138"/>
      <c r="C138"/>
      <c r="D138"/>
      <c r="E138"/>
      <c r="F138"/>
      <c r="G138"/>
      <c r="H138"/>
      <c r="I138"/>
      <c r="J138"/>
      <c r="K138"/>
      <c r="L138"/>
      <c r="M138"/>
      <c r="N138"/>
      <c r="O138"/>
      <c r="P138"/>
      <c r="Q138"/>
      <c r="R138"/>
      <c r="S138"/>
      <c r="T138"/>
    </row>
    <row r="139" spans="1:20">
      <c r="A139"/>
      <c r="B139"/>
      <c r="C139"/>
      <c r="D139"/>
      <c r="E139"/>
      <c r="F139"/>
      <c r="G139"/>
      <c r="H139"/>
      <c r="I139"/>
      <c r="J139"/>
      <c r="K139"/>
      <c r="L139"/>
      <c r="M139"/>
      <c r="N139"/>
      <c r="O139"/>
      <c r="P139"/>
      <c r="Q139"/>
      <c r="R139"/>
      <c r="S139"/>
      <c r="T139"/>
    </row>
    <row r="140" spans="1:20">
      <c r="A140"/>
      <c r="B140"/>
      <c r="C140"/>
      <c r="D140"/>
      <c r="E140"/>
      <c r="F140"/>
      <c r="G140"/>
      <c r="H140"/>
      <c r="I140"/>
      <c r="J140"/>
      <c r="K140"/>
      <c r="L140"/>
      <c r="M140"/>
      <c r="N140"/>
      <c r="O140"/>
      <c r="P140"/>
      <c r="Q140"/>
      <c r="R140"/>
      <c r="S140"/>
      <c r="T140"/>
    </row>
    <row r="141" spans="1:20">
      <c r="A141"/>
      <c r="B141"/>
      <c r="C141"/>
      <c r="D141"/>
      <c r="E141"/>
      <c r="F141"/>
      <c r="G141"/>
      <c r="H141"/>
      <c r="I141"/>
      <c r="J141"/>
      <c r="K141"/>
      <c r="L141"/>
      <c r="M141"/>
      <c r="N141"/>
      <c r="O141"/>
      <c r="P141"/>
      <c r="Q141"/>
      <c r="R141"/>
      <c r="S141"/>
      <c r="T1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NEW-Tables 80-86</vt:lpstr>
      <vt:lpstr>OLD Tables 44-50</vt:lpstr>
      <vt:lpstr>FTE Pivot for regular counts</vt:lpstr>
      <vt:lpstr>Pivot-HS Student % of Undergrad</vt:lpstr>
      <vt:lpstr>SCH Data</vt:lpstr>
      <vt:lpstr>Format P01</vt:lpstr>
      <vt:lpstr>Format P02</vt:lpstr>
      <vt:lpstr>'SCH Data'!Dual07</vt:lpstr>
      <vt:lpstr>'SCH Data'!Dual08</vt:lpstr>
      <vt:lpstr>'SCH Data'!JrCH08ug1</vt:lpstr>
      <vt:lpstr>'SCH Data'!JrCH08ug2</vt:lpstr>
      <vt:lpstr>'SCH Data'!JrCH08ug3</vt:lpstr>
      <vt:lpstr>'SCH Data'!JrCH08ug4</vt:lpstr>
      <vt:lpstr>'SCH Data'!JrSCH08ug1</vt:lpstr>
      <vt:lpstr>'SCH Data'!JrSCH08ug2</vt:lpstr>
      <vt:lpstr>'SCH Data'!JrSCH08ug3</vt:lpstr>
      <vt:lpstr>'SCH Data'!JrSCH08ug4</vt:lpstr>
      <vt:lpstr>'FTE Pivot for regular counts'!Print_Area</vt:lpstr>
      <vt:lpstr>'NEW-Tables 80-86'!Print_Area</vt:lpstr>
      <vt:lpstr>'OLD Tables 44-50'!Print_Area</vt:lpstr>
      <vt:lpstr>'Pivot-HS Student % of Undergrad'!Print_Area</vt:lpstr>
      <vt:lpstr>'FTE Pivot for regular counts'!Print_Titles</vt:lpstr>
      <vt:lpstr>'Pivot-HS Student % of Undergrad'!Print_Titles</vt:lpstr>
      <vt:lpstr>'SCH Data'!Print_Titles</vt:lpstr>
      <vt:lpstr>'SCH Data'!SrSCH08gr2</vt:lpstr>
      <vt:lpstr>'SCH Data'!SrSCH08gr3</vt:lpstr>
      <vt:lpstr>'SCH Data'!SrSCH08gr4</vt:lpstr>
      <vt:lpstr>'SCH Data'!SrSCH08ug2</vt:lpstr>
      <vt:lpstr>'SCH Data'!SrSCH08ug3</vt:lpstr>
      <vt:lpstr>'SCH Data'!SrSCH08ug4</vt:lpstr>
    </vt:vector>
  </TitlesOfParts>
  <Company>SREB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jmarks</cp:lastModifiedBy>
  <cp:lastPrinted>2011-02-10T14:18:12Z</cp:lastPrinted>
  <dcterms:created xsi:type="dcterms:W3CDTF">1999-02-24T13:58:47Z</dcterms:created>
  <dcterms:modified xsi:type="dcterms:W3CDTF">2012-01-03T16:30:25Z</dcterms:modified>
</cp:coreProperties>
</file>